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activeTab="8"/>
  </bookViews>
  <sheets>
    <sheet name="1.02." sheetId="83" r:id="rId1"/>
    <sheet name="1.03." sheetId="84" r:id="rId2"/>
    <sheet name="1.04." sheetId="86" r:id="rId3"/>
    <sheet name="1.05." sheetId="87" r:id="rId4"/>
    <sheet name="1.06." sheetId="88" r:id="rId5"/>
    <sheet name="1.07. " sheetId="89" r:id="rId6"/>
    <sheet name="1.08" sheetId="90" r:id="rId7"/>
    <sheet name="1.09" sheetId="92" r:id="rId8"/>
    <sheet name="1.10" sheetId="93" r:id="rId9"/>
  </sheets>
  <externalReferences>
    <externalReference r:id="rId10"/>
    <externalReference r:id="rId11"/>
  </externalReferences>
  <definedNames>
    <definedName name="_№" localSheetId="0">#REF!</definedName>
    <definedName name="_№" localSheetId="1">#REF!</definedName>
    <definedName name="_№" localSheetId="2">#REF!</definedName>
    <definedName name="_№" localSheetId="3">#REF!</definedName>
    <definedName name="_№" localSheetId="4">#REF!</definedName>
    <definedName name="_№" localSheetId="5">#REF!</definedName>
    <definedName name="_№" localSheetId="6">#REF!</definedName>
    <definedName name="_№" localSheetId="7">#REF!</definedName>
    <definedName name="_№" localSheetId="8">#REF!</definedName>
    <definedName name="_№">#REF!</definedName>
    <definedName name="BuiltIn_Print_Titles">#N/A</definedName>
    <definedName name="BuiltIn_Print_Titles___0">#N/A</definedName>
    <definedName name="АБП">'[1]Служебный ФКРБ'!$A$2:$A$131</definedName>
    <definedName name="Администратор_бюджетных_программ" localSheetId="0">#REF!</definedName>
    <definedName name="Администратор_бюджетных_программ" localSheetId="1">#REF!</definedName>
    <definedName name="Администратор_бюджетных_программ" localSheetId="2">#REF!</definedName>
    <definedName name="Администратор_бюджетных_программ" localSheetId="3">#REF!</definedName>
    <definedName name="Администратор_бюджетных_программ" localSheetId="4">#REF!</definedName>
    <definedName name="Администратор_бюджетных_программ" localSheetId="5">#REF!</definedName>
    <definedName name="Администратор_бюджетных_программ" localSheetId="6">#REF!</definedName>
    <definedName name="Администратор_бюджетных_программ" localSheetId="7">#REF!</definedName>
    <definedName name="Администратор_бюджетных_программ" localSheetId="8">#REF!</definedName>
    <definedName name="Администратор_бюджетных_программ">#REF!</definedName>
    <definedName name="вав">'[2]Тип пункта плана'!$A$1:$A$3</definedName>
    <definedName name="ВидПредмета">'[1]Вид предмета'!$A$1:$A$3</definedName>
    <definedName name="Всего_накоплений_женщины" localSheetId="0">#REF!</definedName>
    <definedName name="Всего_накоплений_женщины" localSheetId="1">#REF!</definedName>
    <definedName name="Всего_накоплений_женщины" localSheetId="2">#REF!</definedName>
    <definedName name="Всего_накоплений_женщины" localSheetId="3">#REF!</definedName>
    <definedName name="Всего_накоплений_женщины" localSheetId="4">#REF!</definedName>
    <definedName name="Всего_накоплений_женщины" localSheetId="5">#REF!</definedName>
    <definedName name="Всего_накоплений_женщины" localSheetId="6">#REF!</definedName>
    <definedName name="Всего_накоплений_женщины" localSheetId="7">#REF!</definedName>
    <definedName name="Всего_накоплений_женщины" localSheetId="8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 localSheetId="1">#REF!</definedName>
    <definedName name="Всего_накоплений_мужчины" localSheetId="2">#REF!</definedName>
    <definedName name="Всего_накоплений_мужчины" localSheetId="3">#REF!</definedName>
    <definedName name="Всего_накоплений_мужчины" localSheetId="4">#REF!</definedName>
    <definedName name="Всего_накоплений_мужчины" localSheetId="5">#REF!</definedName>
    <definedName name="Всего_накоплений_мужчины" localSheetId="6">#REF!</definedName>
    <definedName name="Всего_накоплений_мужчины" localSheetId="7">#REF!</definedName>
    <definedName name="Всего_накоплений_мужчины" localSheetId="8">#REF!</definedName>
    <definedName name="Всего_накоплений_мужчины">#REF!</definedName>
    <definedName name="гз">'[2]Вид предмета'!$A$1:$A$3</definedName>
    <definedName name="Год">[1]Год!$A$1:$A$3</definedName>
    <definedName name="_xlnm.Print_Titles" localSheetId="0">'1.02.'!$3:$4</definedName>
    <definedName name="_xlnm.Print_Titles" localSheetId="1">'1.03.'!$3:$4</definedName>
    <definedName name="_xlnm.Print_Titles" localSheetId="2">'1.04.'!$3:$4</definedName>
    <definedName name="_xlnm.Print_Titles" localSheetId="3">'1.05.'!$3:$4</definedName>
    <definedName name="_xlnm.Print_Titles" localSheetId="4">'1.06.'!$3:$4</definedName>
    <definedName name="_xlnm.Print_Titles" localSheetId="5">'1.07. '!$3:$4</definedName>
    <definedName name="_xlnm.Print_Titles" localSheetId="6">'1.08'!$3:$4</definedName>
    <definedName name="_xlnm.Print_Titles" localSheetId="7">'1.09'!$3:$4</definedName>
    <definedName name="_xlnm.Print_Titles" localSheetId="8">'1.10'!$3:$4</definedName>
    <definedName name="Источник">'[1]Источник финансирования'!$A$1:$A$6</definedName>
    <definedName name="июнь">[2]Месяцы!$A$1:$A$13</definedName>
    <definedName name="КАТО" localSheetId="0">#REF!</definedName>
    <definedName name="КАТО" localSheetId="1">#REF!</definedName>
    <definedName name="КАТО" localSheetId="2">#REF!</definedName>
    <definedName name="КАТО" localSheetId="3">#REF!</definedName>
    <definedName name="КАТО" localSheetId="4">#REF!</definedName>
    <definedName name="КАТО" localSheetId="5">#REF!</definedName>
    <definedName name="КАТО" localSheetId="6">#REF!</definedName>
    <definedName name="КАТО" localSheetId="7">#REF!</definedName>
    <definedName name="КАТО" localSheetId="8">#REF!</definedName>
    <definedName name="КАТО">#REF!</definedName>
    <definedName name="Код" localSheetId="0">#REF!</definedName>
    <definedName name="Код" localSheetId="1">#REF!</definedName>
    <definedName name="Код" localSheetId="2">#REF!</definedName>
    <definedName name="Код" localSheetId="3">#REF!</definedName>
    <definedName name="Код" localSheetId="4">#REF!</definedName>
    <definedName name="Код" localSheetId="5">#REF!</definedName>
    <definedName name="Код" localSheetId="6">#REF!</definedName>
    <definedName name="Код" localSheetId="7">#REF!</definedName>
    <definedName name="Код" localSheetId="8">#REF!</definedName>
    <definedName name="Код">#REF!</definedName>
    <definedName name="КПВЭД" localSheetId="0">#REF!</definedName>
    <definedName name="КПВЭД" localSheetId="1">#REF!</definedName>
    <definedName name="КПВЭД" localSheetId="2">#REF!</definedName>
    <definedName name="КПВЭД" localSheetId="3">#REF!</definedName>
    <definedName name="КПВЭД" localSheetId="4">#REF!</definedName>
    <definedName name="КПВЭД" localSheetId="5">#REF!</definedName>
    <definedName name="КПВЭД" localSheetId="6">#REF!</definedName>
    <definedName name="КПВЭД" localSheetId="7">#REF!</definedName>
    <definedName name="КПВЭД" localSheetId="8">#REF!</definedName>
    <definedName name="КПВЭД">#REF!</definedName>
    <definedName name="Месяц">[1]Месяцы!$A$1:$A$13</definedName>
    <definedName name="_xlnm.Print_Area" localSheetId="0">'1.02.'!$A$1:$O$293</definedName>
    <definedName name="_xlnm.Print_Area" localSheetId="1">'1.03.'!$A$1:$O$295</definedName>
    <definedName name="_xlnm.Print_Area" localSheetId="2">'1.04.'!$A$1:$O$306</definedName>
    <definedName name="_xlnm.Print_Area" localSheetId="3">'1.05.'!$A$1:$O$308</definedName>
    <definedName name="_xlnm.Print_Area" localSheetId="4">'1.06.'!$A$1:$O$312</definedName>
    <definedName name="_xlnm.Print_Area" localSheetId="5">'1.07. '!$A$1:$O$313</definedName>
    <definedName name="_xlnm.Print_Area" localSheetId="6">'1.08'!$A$1:$O$322</definedName>
    <definedName name="_xlnm.Print_Area" localSheetId="7">'1.09'!$A$1:$O$326</definedName>
    <definedName name="_xlnm.Print_Area" localSheetId="8">'1.10'!$A$1:$O$362</definedName>
    <definedName name="план">'[2]Источник финансирования'!$A$1:$A$6</definedName>
    <definedName name="Подпрограмма">'[1]Служебный ФКРБ'!$C$2:$C$31</definedName>
    <definedName name="Программа">'[1]Служебный ФКРБ'!$B$2:$B$144</definedName>
    <definedName name="Работа" localSheetId="0">#REF!</definedName>
    <definedName name="Работа" localSheetId="1">#REF!</definedName>
    <definedName name="Работа" localSheetId="2">#REF!</definedName>
    <definedName name="Работа" localSheetId="3">#REF!</definedName>
    <definedName name="Работа" localSheetId="4">#REF!</definedName>
    <definedName name="Работа" localSheetId="5">#REF!</definedName>
    <definedName name="Работа" localSheetId="6">#REF!</definedName>
    <definedName name="Работа" localSheetId="7">#REF!</definedName>
    <definedName name="Работа" localSheetId="8">#REF!</definedName>
    <definedName name="Работа">#REF!</definedName>
    <definedName name="Специфика" localSheetId="0">#REF!</definedName>
    <definedName name="Специфика" localSheetId="1">#REF!</definedName>
    <definedName name="Специфика" localSheetId="2">#REF!</definedName>
    <definedName name="Специфика" localSheetId="3">#REF!</definedName>
    <definedName name="Специфика" localSheetId="4">#REF!</definedName>
    <definedName name="Специфика" localSheetId="5">#REF!</definedName>
    <definedName name="Специфика" localSheetId="6">#REF!</definedName>
    <definedName name="Специфика" localSheetId="7">#REF!</definedName>
    <definedName name="Специфика" localSheetId="8">#REF!</definedName>
    <definedName name="Специфика">#REF!</definedName>
    <definedName name="Способ">'[1]Способ закупки'!$A$1:$A$14</definedName>
    <definedName name="Тип_пункта">'[1]Тип пункта плана'!$A$1:$A$3</definedName>
    <definedName name="Товар" localSheetId="0">#REF!</definedName>
    <definedName name="Товар" localSheetId="1">#REF!</definedName>
    <definedName name="Товар" localSheetId="2">#REF!</definedName>
    <definedName name="Товар" localSheetId="3">#REF!</definedName>
    <definedName name="Товар" localSheetId="4">#REF!</definedName>
    <definedName name="Товар" localSheetId="5">#REF!</definedName>
    <definedName name="Товар" localSheetId="6">#REF!</definedName>
    <definedName name="Товар" localSheetId="7">#REF!</definedName>
    <definedName name="Товар" localSheetId="8">#REF!</definedName>
    <definedName name="Товар">#REF!</definedName>
    <definedName name="Услуга" localSheetId="0">#REF!</definedName>
    <definedName name="Услуга" localSheetId="1">#REF!</definedName>
    <definedName name="Услуга" localSheetId="2">#REF!</definedName>
    <definedName name="Услуга" localSheetId="3">#REF!</definedName>
    <definedName name="Услуга" localSheetId="4">#REF!</definedName>
    <definedName name="Услуга" localSheetId="5">#REF!</definedName>
    <definedName name="Услуга" localSheetId="6">#REF!</definedName>
    <definedName name="Услуга" localSheetId="7">#REF!</definedName>
    <definedName name="Услуга" localSheetId="8">#REF!</definedName>
    <definedName name="Услуга">#REF!</definedName>
  </definedNames>
  <calcPr calcId="124519"/>
</workbook>
</file>

<file path=xl/calcChain.xml><?xml version="1.0" encoding="utf-8"?>
<calcChain xmlns="http://schemas.openxmlformats.org/spreadsheetml/2006/main">
  <c r="J341" i="93"/>
  <c r="P226"/>
  <c r="Q226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250"/>
  <c r="N251"/>
  <c r="N252"/>
  <c r="N253"/>
  <c r="N254"/>
  <c r="N255"/>
  <c r="N256"/>
  <c r="N257"/>
  <c r="N258"/>
  <c r="N259"/>
  <c r="N260"/>
  <c r="N261"/>
  <c r="N262"/>
  <c r="N263"/>
  <c r="N264"/>
  <c r="N265"/>
  <c r="N266"/>
  <c r="N267"/>
  <c r="N268"/>
  <c r="N269"/>
  <c r="N270"/>
  <c r="N271"/>
  <c r="N272"/>
  <c r="N273"/>
  <c r="N274"/>
  <c r="N275"/>
  <c r="N276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4"/>
  <c r="N295"/>
  <c r="N296"/>
  <c r="N297"/>
  <c r="N298"/>
  <c r="N299"/>
  <c r="N300"/>
  <c r="N301"/>
  <c r="N302"/>
  <c r="N303"/>
  <c r="N304"/>
  <c r="N305"/>
  <c r="N306"/>
  <c r="N307"/>
  <c r="N308"/>
  <c r="N309"/>
  <c r="N310"/>
  <c r="N311"/>
  <c r="N312"/>
  <c r="N313"/>
  <c r="N314"/>
  <c r="N315"/>
  <c r="N316"/>
  <c r="N317"/>
  <c r="N318"/>
  <c r="N319"/>
  <c r="N320"/>
  <c r="N321"/>
  <c r="N322"/>
  <c r="N323"/>
  <c r="N324"/>
  <c r="N325"/>
  <c r="N326"/>
  <c r="N327"/>
  <c r="N328"/>
  <c r="N329"/>
  <c r="N330"/>
  <c r="N331"/>
  <c r="N332"/>
  <c r="N333"/>
  <c r="N334"/>
  <c r="N335"/>
  <c r="N336"/>
  <c r="N337"/>
  <c r="N338"/>
  <c r="N339"/>
  <c r="N340"/>
  <c r="N341"/>
  <c r="N342"/>
  <c r="N343"/>
  <c r="N344"/>
  <c r="N345"/>
  <c r="N346"/>
  <c r="N347"/>
  <c r="N348"/>
  <c r="N349"/>
  <c r="N350"/>
  <c r="N351"/>
  <c r="N352"/>
  <c r="N353"/>
  <c r="N354"/>
  <c r="N355"/>
  <c r="N356"/>
  <c r="N357"/>
  <c r="N358"/>
  <c r="N359"/>
  <c r="N360"/>
  <c r="N361"/>
  <c r="N362"/>
  <c r="N5"/>
  <c r="N6"/>
  <c r="N7"/>
  <c r="N8"/>
  <c r="N9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31"/>
  <c r="Q332"/>
  <c r="Q333"/>
  <c r="Q334"/>
  <c r="Q335"/>
  <c r="Q336"/>
  <c r="Q337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G197"/>
  <c r="H318"/>
  <c r="H317"/>
  <c r="H316"/>
  <c r="H313"/>
  <c r="H312"/>
  <c r="G306"/>
  <c r="G301"/>
  <c r="G302"/>
  <c r="J282"/>
  <c r="J283"/>
  <c r="J284"/>
  <c r="J285"/>
  <c r="J286"/>
  <c r="J287"/>
  <c r="J288"/>
  <c r="J206"/>
  <c r="J159"/>
  <c r="J160"/>
  <c r="J161"/>
  <c r="J162"/>
  <c r="J163"/>
  <c r="J164"/>
  <c r="J157"/>
  <c r="J270"/>
  <c r="J257"/>
  <c r="J258"/>
  <c r="J259"/>
  <c r="J260"/>
  <c r="J261"/>
  <c r="J254"/>
  <c r="H97"/>
  <c r="H51" s="1"/>
  <c r="I87"/>
  <c r="H48"/>
  <c r="I48"/>
  <c r="K48"/>
  <c r="L48"/>
  <c r="H49"/>
  <c r="I49"/>
  <c r="K49"/>
  <c r="L49"/>
  <c r="H50"/>
  <c r="I50"/>
  <c r="K50"/>
  <c r="L50"/>
  <c r="K51"/>
  <c r="L51"/>
  <c r="H52"/>
  <c r="I52"/>
  <c r="K52"/>
  <c r="L52"/>
  <c r="H53"/>
  <c r="I53"/>
  <c r="K53"/>
  <c r="L53"/>
  <c r="H54"/>
  <c r="I54"/>
  <c r="K54"/>
  <c r="L54"/>
  <c r="H55"/>
  <c r="I55"/>
  <c r="K55"/>
  <c r="L55"/>
  <c r="G48"/>
  <c r="I85"/>
  <c r="H91"/>
  <c r="H89"/>
  <c r="H88"/>
  <c r="H87"/>
  <c r="H85"/>
  <c r="H74"/>
  <c r="H73"/>
  <c r="H72"/>
  <c r="H71"/>
  <c r="H70"/>
  <c r="H69"/>
  <c r="H68"/>
  <c r="H67"/>
  <c r="H65"/>
  <c r="H64"/>
  <c r="H63"/>
  <c r="H62"/>
  <c r="H61"/>
  <c r="H60"/>
  <c r="H59"/>
  <c r="H58"/>
  <c r="J339" l="1"/>
  <c r="O223" l="1"/>
  <c r="J212"/>
  <c r="G217"/>
  <c r="G203"/>
  <c r="G245"/>
  <c r="G244"/>
  <c r="G243"/>
  <c r="T243" s="1"/>
  <c r="G236"/>
  <c r="T236" s="1"/>
  <c r="G233"/>
  <c r="G232"/>
  <c r="G231"/>
  <c r="G353"/>
  <c r="G345"/>
  <c r="K362"/>
  <c r="M362" s="1"/>
  <c r="K361"/>
  <c r="M361" s="1"/>
  <c r="K340"/>
  <c r="M340" s="1"/>
  <c r="K341"/>
  <c r="M341" s="1"/>
  <c r="K342"/>
  <c r="K343"/>
  <c r="M343" s="1"/>
  <c r="K344"/>
  <c r="K345"/>
  <c r="K346"/>
  <c r="K347"/>
  <c r="K348"/>
  <c r="K349"/>
  <c r="K350"/>
  <c r="K351"/>
  <c r="M351" s="1"/>
  <c r="K352"/>
  <c r="M352" s="1"/>
  <c r="K353"/>
  <c r="M353" s="1"/>
  <c r="K354"/>
  <c r="M354" s="1"/>
  <c r="K355"/>
  <c r="M355" s="1"/>
  <c r="K356"/>
  <c r="M356" s="1"/>
  <c r="K357"/>
  <c r="K358"/>
  <c r="K339"/>
  <c r="M339" s="1"/>
  <c r="K327"/>
  <c r="K328"/>
  <c r="M328" s="1"/>
  <c r="K326"/>
  <c r="M326" s="1"/>
  <c r="J326" s="1"/>
  <c r="K313"/>
  <c r="M313" s="1"/>
  <c r="S313" s="1"/>
  <c r="K314"/>
  <c r="M314" s="1"/>
  <c r="K315"/>
  <c r="M315" s="1"/>
  <c r="K316"/>
  <c r="M316" s="1"/>
  <c r="J316" s="1"/>
  <c r="K317"/>
  <c r="K318"/>
  <c r="M318" s="1"/>
  <c r="J318" s="1"/>
  <c r="P318" s="1"/>
  <c r="K319"/>
  <c r="M319" s="1"/>
  <c r="K320"/>
  <c r="M320" s="1"/>
  <c r="K321"/>
  <c r="K322"/>
  <c r="K323"/>
  <c r="K312"/>
  <c r="M312" s="1"/>
  <c r="K309"/>
  <c r="M309" s="1"/>
  <c r="K308"/>
  <c r="M308" s="1"/>
  <c r="K306"/>
  <c r="K305" s="1"/>
  <c r="K302"/>
  <c r="M302" s="1"/>
  <c r="K303"/>
  <c r="M303" s="1"/>
  <c r="K301"/>
  <c r="K282"/>
  <c r="M282" s="1"/>
  <c r="K283"/>
  <c r="M283" s="1"/>
  <c r="K284"/>
  <c r="M284" s="1"/>
  <c r="K285"/>
  <c r="M285" s="1"/>
  <c r="K286"/>
  <c r="M286" s="1"/>
  <c r="K287"/>
  <c r="M287" s="1"/>
  <c r="K288"/>
  <c r="K289"/>
  <c r="K290"/>
  <c r="M290" s="1"/>
  <c r="K291"/>
  <c r="K292"/>
  <c r="K293"/>
  <c r="M293" s="1"/>
  <c r="K294"/>
  <c r="M294" s="1"/>
  <c r="K295"/>
  <c r="K296"/>
  <c r="K297"/>
  <c r="M297" s="1"/>
  <c r="K298"/>
  <c r="K281"/>
  <c r="M281" s="1"/>
  <c r="K278"/>
  <c r="M278" s="1"/>
  <c r="S278" s="1"/>
  <c r="K255"/>
  <c r="M255" s="1"/>
  <c r="K256"/>
  <c r="M256" s="1"/>
  <c r="K257"/>
  <c r="K258"/>
  <c r="K259"/>
  <c r="K260"/>
  <c r="K261"/>
  <c r="K262"/>
  <c r="K263"/>
  <c r="K264"/>
  <c r="K265"/>
  <c r="K266"/>
  <c r="M266" s="1"/>
  <c r="S266" s="1"/>
  <c r="K267"/>
  <c r="M267" s="1"/>
  <c r="K268"/>
  <c r="M268" s="1"/>
  <c r="S268" s="1"/>
  <c r="K269"/>
  <c r="M269" s="1"/>
  <c r="K270"/>
  <c r="M270" s="1"/>
  <c r="K271"/>
  <c r="K254"/>
  <c r="K250"/>
  <c r="M250" s="1"/>
  <c r="K249"/>
  <c r="M249" s="1"/>
  <c r="S249" s="1"/>
  <c r="K229"/>
  <c r="M229" s="1"/>
  <c r="K230"/>
  <c r="M230" s="1"/>
  <c r="J230" s="1"/>
  <c r="K231"/>
  <c r="M231" s="1"/>
  <c r="K232"/>
  <c r="K233"/>
  <c r="M233" s="1"/>
  <c r="K234"/>
  <c r="M234" s="1"/>
  <c r="K235"/>
  <c r="M235" s="1"/>
  <c r="K236"/>
  <c r="K237"/>
  <c r="M237" s="1"/>
  <c r="K238"/>
  <c r="K239"/>
  <c r="K240"/>
  <c r="K241"/>
  <c r="M241" s="1"/>
  <c r="K242"/>
  <c r="M242" s="1"/>
  <c r="P242" s="1"/>
  <c r="K243"/>
  <c r="K244"/>
  <c r="M244" s="1"/>
  <c r="K245"/>
  <c r="K246"/>
  <c r="K228"/>
  <c r="M228" s="1"/>
  <c r="K224"/>
  <c r="M224" s="1"/>
  <c r="S224" s="1"/>
  <c r="K223"/>
  <c r="M223" s="1"/>
  <c r="K202"/>
  <c r="K203"/>
  <c r="M203" s="1"/>
  <c r="K204"/>
  <c r="K205"/>
  <c r="K206"/>
  <c r="K207"/>
  <c r="M207" s="1"/>
  <c r="K208"/>
  <c r="M208" s="1"/>
  <c r="K209"/>
  <c r="M209" s="1"/>
  <c r="P209" s="1"/>
  <c r="K210"/>
  <c r="K211"/>
  <c r="K212"/>
  <c r="K213"/>
  <c r="K214"/>
  <c r="K215"/>
  <c r="M215" s="1"/>
  <c r="K216"/>
  <c r="M216" s="1"/>
  <c r="K217"/>
  <c r="M217" s="1"/>
  <c r="K218"/>
  <c r="M218" s="1"/>
  <c r="K219"/>
  <c r="M219" s="1"/>
  <c r="K201"/>
  <c r="K197"/>
  <c r="M197" s="1"/>
  <c r="K179"/>
  <c r="M179" s="1"/>
  <c r="K180"/>
  <c r="M180" s="1"/>
  <c r="K181"/>
  <c r="K182"/>
  <c r="M182" s="1"/>
  <c r="K183"/>
  <c r="M183" s="1"/>
  <c r="J183" s="1"/>
  <c r="K184"/>
  <c r="K185"/>
  <c r="K186"/>
  <c r="M186" s="1"/>
  <c r="K187"/>
  <c r="K188"/>
  <c r="K189"/>
  <c r="K190"/>
  <c r="M190" s="1"/>
  <c r="P190" s="1"/>
  <c r="K191"/>
  <c r="M191" s="1"/>
  <c r="P191" s="1"/>
  <c r="K192"/>
  <c r="K193"/>
  <c r="M193" s="1"/>
  <c r="K194"/>
  <c r="M194" s="1"/>
  <c r="K178"/>
  <c r="M178" s="1"/>
  <c r="O178" s="1"/>
  <c r="K158"/>
  <c r="M158" s="1"/>
  <c r="J158" s="1"/>
  <c r="K159"/>
  <c r="M159" s="1"/>
  <c r="K160"/>
  <c r="M160" s="1"/>
  <c r="K161"/>
  <c r="M161" s="1"/>
  <c r="S161" s="1"/>
  <c r="K162"/>
  <c r="K163"/>
  <c r="K164"/>
  <c r="K165"/>
  <c r="M165" s="1"/>
  <c r="K166"/>
  <c r="K167"/>
  <c r="M167" s="1"/>
  <c r="J167" s="1"/>
  <c r="K168"/>
  <c r="K169"/>
  <c r="K170"/>
  <c r="M170" s="1"/>
  <c r="K171"/>
  <c r="M171" s="1"/>
  <c r="K172"/>
  <c r="M172" s="1"/>
  <c r="S172" s="1"/>
  <c r="K173"/>
  <c r="M173" s="1"/>
  <c r="K174"/>
  <c r="K157"/>
  <c r="K95"/>
  <c r="M95" s="1"/>
  <c r="K96"/>
  <c r="M96" s="1"/>
  <c r="K97"/>
  <c r="K98"/>
  <c r="M98" s="1"/>
  <c r="K99"/>
  <c r="M99" s="1"/>
  <c r="K100"/>
  <c r="M100" s="1"/>
  <c r="S100" s="1"/>
  <c r="K101"/>
  <c r="K94"/>
  <c r="M94" s="1"/>
  <c r="K86"/>
  <c r="M86" s="1"/>
  <c r="K87"/>
  <c r="K88"/>
  <c r="K89"/>
  <c r="M89" s="1"/>
  <c r="K90"/>
  <c r="M90" s="1"/>
  <c r="K91"/>
  <c r="K92"/>
  <c r="K85"/>
  <c r="M85" s="1"/>
  <c r="S85" s="1"/>
  <c r="K77"/>
  <c r="M77" s="1"/>
  <c r="K78"/>
  <c r="M78" s="1"/>
  <c r="K79"/>
  <c r="M79" s="1"/>
  <c r="K80"/>
  <c r="M80" s="1"/>
  <c r="K81"/>
  <c r="K82"/>
  <c r="K83"/>
  <c r="K76"/>
  <c r="K68"/>
  <c r="M68" s="1"/>
  <c r="K69"/>
  <c r="M69" s="1"/>
  <c r="S69" s="1"/>
  <c r="K70"/>
  <c r="M70" s="1"/>
  <c r="S70" s="1"/>
  <c r="K71"/>
  <c r="K72"/>
  <c r="M72" s="1"/>
  <c r="S72" s="1"/>
  <c r="K73"/>
  <c r="K74"/>
  <c r="M74" s="1"/>
  <c r="S74" s="1"/>
  <c r="K67"/>
  <c r="M67" s="1"/>
  <c r="S67" s="1"/>
  <c r="K59"/>
  <c r="K60"/>
  <c r="K61"/>
  <c r="K62"/>
  <c r="K63"/>
  <c r="K64"/>
  <c r="K65"/>
  <c r="K58"/>
  <c r="G87"/>
  <c r="G50" s="1"/>
  <c r="G82"/>
  <c r="G54" s="1"/>
  <c r="G49"/>
  <c r="G51"/>
  <c r="G52"/>
  <c r="G53"/>
  <c r="G55"/>
  <c r="H138"/>
  <c r="I138"/>
  <c r="J138"/>
  <c r="K138"/>
  <c r="L138"/>
  <c r="M138"/>
  <c r="G138"/>
  <c r="H129"/>
  <c r="I129"/>
  <c r="J129"/>
  <c r="P129" s="1"/>
  <c r="K129"/>
  <c r="L129"/>
  <c r="M129"/>
  <c r="O129" s="1"/>
  <c r="G129"/>
  <c r="H120"/>
  <c r="I120"/>
  <c r="J120"/>
  <c r="K120"/>
  <c r="L120"/>
  <c r="M120"/>
  <c r="G120"/>
  <c r="H111"/>
  <c r="I111"/>
  <c r="J111"/>
  <c r="K111"/>
  <c r="L111"/>
  <c r="M111"/>
  <c r="G111"/>
  <c r="M112"/>
  <c r="P112" s="1"/>
  <c r="S112"/>
  <c r="M113"/>
  <c r="S113" s="1"/>
  <c r="M114"/>
  <c r="O114"/>
  <c r="P114"/>
  <c r="S114"/>
  <c r="M115"/>
  <c r="S115" s="1"/>
  <c r="M116"/>
  <c r="O116"/>
  <c r="P116"/>
  <c r="S116"/>
  <c r="M117"/>
  <c r="P117" s="1"/>
  <c r="S117"/>
  <c r="M118"/>
  <c r="S118" s="1"/>
  <c r="M119"/>
  <c r="O119" s="1"/>
  <c r="P119"/>
  <c r="S119"/>
  <c r="M121"/>
  <c r="M122"/>
  <c r="P122" s="1"/>
  <c r="S122"/>
  <c r="M123"/>
  <c r="P123" s="1"/>
  <c r="M124"/>
  <c r="O124"/>
  <c r="P124"/>
  <c r="S124"/>
  <c r="M125"/>
  <c r="S125" s="1"/>
  <c r="M126"/>
  <c r="O126"/>
  <c r="P126"/>
  <c r="S126"/>
  <c r="M127"/>
  <c r="P127" s="1"/>
  <c r="S127"/>
  <c r="M128"/>
  <c r="S128" s="1"/>
  <c r="M130"/>
  <c r="S130" s="1"/>
  <c r="M131"/>
  <c r="O131" s="1"/>
  <c r="M132"/>
  <c r="P132" s="1"/>
  <c r="S132"/>
  <c r="M133"/>
  <c r="S133" s="1"/>
  <c r="M134"/>
  <c r="O134"/>
  <c r="P134"/>
  <c r="S134"/>
  <c r="M135"/>
  <c r="S135" s="1"/>
  <c r="M136"/>
  <c r="O136"/>
  <c r="P136"/>
  <c r="S136"/>
  <c r="M137"/>
  <c r="P137" s="1"/>
  <c r="S137"/>
  <c r="M139"/>
  <c r="O139" s="1"/>
  <c r="P139"/>
  <c r="S139"/>
  <c r="M140"/>
  <c r="S140" s="1"/>
  <c r="M141"/>
  <c r="O141" s="1"/>
  <c r="M142"/>
  <c r="P142" s="1"/>
  <c r="S142"/>
  <c r="M143"/>
  <c r="S143" s="1"/>
  <c r="M144"/>
  <c r="O144"/>
  <c r="P144"/>
  <c r="S144"/>
  <c r="M145"/>
  <c r="S145" s="1"/>
  <c r="M146"/>
  <c r="O146"/>
  <c r="P146"/>
  <c r="S146"/>
  <c r="K153"/>
  <c r="M153" s="1"/>
  <c r="K44"/>
  <c r="M44" s="1"/>
  <c r="G37"/>
  <c r="G35" s="1"/>
  <c r="K9"/>
  <c r="M9" s="1"/>
  <c r="S9" s="1"/>
  <c r="K16"/>
  <c r="M16" s="1"/>
  <c r="K17"/>
  <c r="K18"/>
  <c r="M18" s="1"/>
  <c r="K19"/>
  <c r="M19" s="1"/>
  <c r="K20"/>
  <c r="K21"/>
  <c r="M21" s="1"/>
  <c r="S21" s="1"/>
  <c r="K22"/>
  <c r="M22" s="1"/>
  <c r="J22" s="1"/>
  <c r="K23"/>
  <c r="M23" s="1"/>
  <c r="S23" s="1"/>
  <c r="K24"/>
  <c r="M24" s="1"/>
  <c r="K25"/>
  <c r="M25" s="1"/>
  <c r="K26"/>
  <c r="K27"/>
  <c r="M27" s="1"/>
  <c r="K28"/>
  <c r="M28" s="1"/>
  <c r="K29"/>
  <c r="K30"/>
  <c r="M30" s="1"/>
  <c r="K31"/>
  <c r="K32"/>
  <c r="M32" s="1"/>
  <c r="K33"/>
  <c r="M33" s="1"/>
  <c r="K34"/>
  <c r="M34" s="1"/>
  <c r="K15"/>
  <c r="M15" s="1"/>
  <c r="J15" s="1"/>
  <c r="Q363"/>
  <c r="K363"/>
  <c r="M363" s="1"/>
  <c r="G361"/>
  <c r="G360" s="1"/>
  <c r="L360"/>
  <c r="L359" s="1"/>
  <c r="J360"/>
  <c r="I360"/>
  <c r="I359" s="1"/>
  <c r="H360"/>
  <c r="M358"/>
  <c r="O357"/>
  <c r="M357"/>
  <c r="P357" s="1"/>
  <c r="G356"/>
  <c r="T355"/>
  <c r="G355"/>
  <c r="G351"/>
  <c r="M350"/>
  <c r="G350"/>
  <c r="M349"/>
  <c r="P349" s="1"/>
  <c r="G349"/>
  <c r="T348"/>
  <c r="M348"/>
  <c r="G348"/>
  <c r="T347"/>
  <c r="M347"/>
  <c r="G347"/>
  <c r="S346"/>
  <c r="M346"/>
  <c r="G346"/>
  <c r="M345"/>
  <c r="M344"/>
  <c r="S344" s="1"/>
  <c r="G344"/>
  <c r="G343"/>
  <c r="M342"/>
  <c r="G342"/>
  <c r="G341"/>
  <c r="G340"/>
  <c r="G339"/>
  <c r="L338"/>
  <c r="L330" s="1"/>
  <c r="K338"/>
  <c r="I338"/>
  <c r="I330" s="1"/>
  <c r="I329" s="1"/>
  <c r="H338"/>
  <c r="H330" s="1"/>
  <c r="M337"/>
  <c r="K337"/>
  <c r="S336"/>
  <c r="K336"/>
  <c r="M336" s="1"/>
  <c r="K335"/>
  <c r="M335" s="1"/>
  <c r="S334"/>
  <c r="M334"/>
  <c r="J334" s="1"/>
  <c r="K334"/>
  <c r="M333"/>
  <c r="S333" s="1"/>
  <c r="K333"/>
  <c r="K332"/>
  <c r="M332" s="1"/>
  <c r="S332" s="1"/>
  <c r="L331"/>
  <c r="K331"/>
  <c r="I331"/>
  <c r="H331"/>
  <c r="G331"/>
  <c r="K330"/>
  <c r="K329"/>
  <c r="G327"/>
  <c r="G326"/>
  <c r="G325" s="1"/>
  <c r="R325"/>
  <c r="L325"/>
  <c r="L324" s="1"/>
  <c r="I325"/>
  <c r="I324" s="1"/>
  <c r="H325"/>
  <c r="H324" s="1"/>
  <c r="M323"/>
  <c r="J323" s="1"/>
  <c r="M322"/>
  <c r="G322"/>
  <c r="M321"/>
  <c r="G321"/>
  <c r="G319"/>
  <c r="I318"/>
  <c r="G318"/>
  <c r="M317"/>
  <c r="S317" s="1"/>
  <c r="I317"/>
  <c r="I316"/>
  <c r="I315"/>
  <c r="I314"/>
  <c r="I312"/>
  <c r="L311"/>
  <c r="L310" s="1"/>
  <c r="G311"/>
  <c r="G310" s="1"/>
  <c r="T308"/>
  <c r="G308"/>
  <c r="G307" s="1"/>
  <c r="L307"/>
  <c r="I307"/>
  <c r="H307"/>
  <c r="G305"/>
  <c r="L305"/>
  <c r="I305"/>
  <c r="H305"/>
  <c r="L300"/>
  <c r="L299" s="1"/>
  <c r="I300"/>
  <c r="I299" s="1"/>
  <c r="H300"/>
  <c r="K299"/>
  <c r="M298"/>
  <c r="G298"/>
  <c r="G297"/>
  <c r="M296"/>
  <c r="S296" s="1"/>
  <c r="M295"/>
  <c r="J295" s="1"/>
  <c r="G295"/>
  <c r="G294"/>
  <c r="T294" s="1"/>
  <c r="G293"/>
  <c r="S292"/>
  <c r="M292"/>
  <c r="P292" s="1"/>
  <c r="G292"/>
  <c r="T292" s="1"/>
  <c r="M291"/>
  <c r="S291" s="1"/>
  <c r="G291"/>
  <c r="G290"/>
  <c r="T289"/>
  <c r="M289"/>
  <c r="S289" s="1"/>
  <c r="G289"/>
  <c r="M288"/>
  <c r="S288" s="1"/>
  <c r="G288"/>
  <c r="G286"/>
  <c r="G285"/>
  <c r="G284"/>
  <c r="G282"/>
  <c r="G281"/>
  <c r="L280"/>
  <c r="L279" s="1"/>
  <c r="I280"/>
  <c r="I279" s="1"/>
  <c r="H280"/>
  <c r="L277"/>
  <c r="L276" s="1"/>
  <c r="K277"/>
  <c r="I277"/>
  <c r="I276" s="1"/>
  <c r="H277"/>
  <c r="G277"/>
  <c r="G276" s="1"/>
  <c r="K276"/>
  <c r="H276"/>
  <c r="K275"/>
  <c r="S274"/>
  <c r="K274"/>
  <c r="M274" s="1"/>
  <c r="L273"/>
  <c r="L272" s="1"/>
  <c r="K273"/>
  <c r="I273"/>
  <c r="I272" s="1"/>
  <c r="H273"/>
  <c r="G273"/>
  <c r="K272"/>
  <c r="M271"/>
  <c r="S271" s="1"/>
  <c r="G269"/>
  <c r="T269" s="1"/>
  <c r="T268"/>
  <c r="T267"/>
  <c r="M265"/>
  <c r="M264"/>
  <c r="T263"/>
  <c r="M263"/>
  <c r="G263"/>
  <c r="T262"/>
  <c r="M262"/>
  <c r="M261"/>
  <c r="M260"/>
  <c r="T259"/>
  <c r="M259"/>
  <c r="M258"/>
  <c r="S258" s="1"/>
  <c r="M254"/>
  <c r="S254" s="1"/>
  <c r="G254"/>
  <c r="G253" s="1"/>
  <c r="L253"/>
  <c r="L252" s="1"/>
  <c r="L251" s="1"/>
  <c r="I253"/>
  <c r="I252" s="1"/>
  <c r="I251" s="1"/>
  <c r="H253"/>
  <c r="G250"/>
  <c r="G248" s="1"/>
  <c r="L248"/>
  <c r="L247" s="1"/>
  <c r="I248"/>
  <c r="I247" s="1"/>
  <c r="H248"/>
  <c r="M246"/>
  <c r="G246"/>
  <c r="M245"/>
  <c r="P243"/>
  <c r="M243"/>
  <c r="G242"/>
  <c r="T241"/>
  <c r="M240"/>
  <c r="M239"/>
  <c r="G239"/>
  <c r="T238"/>
  <c r="M238"/>
  <c r="O238" s="1"/>
  <c r="G237"/>
  <c r="M236"/>
  <c r="G235"/>
  <c r="G234"/>
  <c r="O232"/>
  <c r="M232"/>
  <c r="G230"/>
  <c r="G229"/>
  <c r="G228"/>
  <c r="L227"/>
  <c r="L226" s="1"/>
  <c r="I227"/>
  <c r="I226" s="1"/>
  <c r="I225" s="1"/>
  <c r="H227"/>
  <c r="H226" s="1"/>
  <c r="K226"/>
  <c r="G223"/>
  <c r="G221" s="1"/>
  <c r="G220" s="1"/>
  <c r="S222"/>
  <c r="K222"/>
  <c r="M222" s="1"/>
  <c r="J222" s="1"/>
  <c r="L221"/>
  <c r="L220" s="1"/>
  <c r="K221"/>
  <c r="I221"/>
  <c r="I220" s="1"/>
  <c r="H221"/>
  <c r="H220" s="1"/>
  <c r="K220"/>
  <c r="G219"/>
  <c r="G216"/>
  <c r="T215"/>
  <c r="G215"/>
  <c r="T214"/>
  <c r="M214"/>
  <c r="M213"/>
  <c r="S213" s="1"/>
  <c r="M212"/>
  <c r="G212"/>
  <c r="T211"/>
  <c r="M211"/>
  <c r="G211"/>
  <c r="T210"/>
  <c r="M210"/>
  <c r="O210" s="1"/>
  <c r="T209"/>
  <c r="G208"/>
  <c r="M206"/>
  <c r="G206"/>
  <c r="M205"/>
  <c r="G205"/>
  <c r="M204"/>
  <c r="S204" s="1"/>
  <c r="M202"/>
  <c r="G202"/>
  <c r="G201"/>
  <c r="L200"/>
  <c r="L199" s="1"/>
  <c r="L198" s="1"/>
  <c r="I200"/>
  <c r="I199" s="1"/>
  <c r="H200"/>
  <c r="H199" s="1"/>
  <c r="K199"/>
  <c r="L196"/>
  <c r="L195" s="1"/>
  <c r="K196"/>
  <c r="J196"/>
  <c r="I196"/>
  <c r="I195" s="1"/>
  <c r="H196"/>
  <c r="H195" s="1"/>
  <c r="G196"/>
  <c r="G195" s="1"/>
  <c r="K195"/>
  <c r="G194"/>
  <c r="T194" s="1"/>
  <c r="G193"/>
  <c r="T192"/>
  <c r="M192"/>
  <c r="S192" s="1"/>
  <c r="G192"/>
  <c r="G191"/>
  <c r="T191" s="1"/>
  <c r="T190"/>
  <c r="M189"/>
  <c r="J189" s="1"/>
  <c r="G189"/>
  <c r="M188"/>
  <c r="T187"/>
  <c r="M187"/>
  <c r="T186"/>
  <c r="G186"/>
  <c r="M185"/>
  <c r="J185" s="1"/>
  <c r="G185"/>
  <c r="M184"/>
  <c r="J184" s="1"/>
  <c r="G183"/>
  <c r="G182"/>
  <c r="M181"/>
  <c r="J181" s="1"/>
  <c r="G181"/>
  <c r="G179"/>
  <c r="G178"/>
  <c r="L177"/>
  <c r="L176" s="1"/>
  <c r="L175" s="1"/>
  <c r="K177"/>
  <c r="I177"/>
  <c r="I176" s="1"/>
  <c r="H177"/>
  <c r="H176" s="1"/>
  <c r="K176"/>
  <c r="K175"/>
  <c r="M174"/>
  <c r="G174"/>
  <c r="G171"/>
  <c r="T170"/>
  <c r="G170"/>
  <c r="T169"/>
  <c r="M169"/>
  <c r="M168"/>
  <c r="G168"/>
  <c r="G167"/>
  <c r="T166"/>
  <c r="S166"/>
  <c r="M166"/>
  <c r="G165"/>
  <c r="M164"/>
  <c r="S164" s="1"/>
  <c r="M163"/>
  <c r="M162"/>
  <c r="L156"/>
  <c r="L155" s="1"/>
  <c r="L154" s="1"/>
  <c r="I156"/>
  <c r="I155" s="1"/>
  <c r="I154" s="1"/>
  <c r="H156"/>
  <c r="H155" s="1"/>
  <c r="H154" s="1"/>
  <c r="K155"/>
  <c r="K154"/>
  <c r="T153"/>
  <c r="L152"/>
  <c r="L151" s="1"/>
  <c r="K152"/>
  <c r="J152"/>
  <c r="J151" s="1"/>
  <c r="I152"/>
  <c r="I151" s="1"/>
  <c r="H152"/>
  <c r="G152"/>
  <c r="K151"/>
  <c r="M150"/>
  <c r="S150" s="1"/>
  <c r="K150"/>
  <c r="T149"/>
  <c r="K149"/>
  <c r="M149" s="1"/>
  <c r="L148"/>
  <c r="I148"/>
  <c r="I147" s="1"/>
  <c r="H148"/>
  <c r="G148"/>
  <c r="L147"/>
  <c r="K147"/>
  <c r="H147"/>
  <c r="G147"/>
  <c r="S110"/>
  <c r="O110"/>
  <c r="M110"/>
  <c r="P110" s="1"/>
  <c r="M109"/>
  <c r="O109" s="1"/>
  <c r="S108"/>
  <c r="P108"/>
  <c r="O108"/>
  <c r="M108"/>
  <c r="M107"/>
  <c r="P107" s="1"/>
  <c r="S106"/>
  <c r="M106"/>
  <c r="M105"/>
  <c r="O105" s="1"/>
  <c r="O104"/>
  <c r="M104"/>
  <c r="S104" s="1"/>
  <c r="P103"/>
  <c r="O103"/>
  <c r="O102" s="1"/>
  <c r="M103"/>
  <c r="S103" s="1"/>
  <c r="L102"/>
  <c r="K102"/>
  <c r="J102"/>
  <c r="I102"/>
  <c r="H102"/>
  <c r="G102"/>
  <c r="S101"/>
  <c r="O101"/>
  <c r="M101"/>
  <c r="J101" s="1"/>
  <c r="I101"/>
  <c r="H100"/>
  <c r="I99"/>
  <c r="H98"/>
  <c r="I97"/>
  <c r="I51" s="1"/>
  <c r="I96"/>
  <c r="I95"/>
  <c r="H95"/>
  <c r="H94"/>
  <c r="I94" s="1"/>
  <c r="L93"/>
  <c r="G93"/>
  <c r="M92"/>
  <c r="H92"/>
  <c r="M91"/>
  <c r="S91" s="1"/>
  <c r="I91"/>
  <c r="H90"/>
  <c r="I89"/>
  <c r="M88"/>
  <c r="M87"/>
  <c r="H86"/>
  <c r="H84"/>
  <c r="L84"/>
  <c r="M83"/>
  <c r="J83" s="1"/>
  <c r="M82"/>
  <c r="I82"/>
  <c r="I75" s="1"/>
  <c r="O81"/>
  <c r="M81"/>
  <c r="J81" s="1"/>
  <c r="L75"/>
  <c r="H75"/>
  <c r="I74"/>
  <c r="O73"/>
  <c r="M73"/>
  <c r="S73" s="1"/>
  <c r="I73"/>
  <c r="I72"/>
  <c r="M71"/>
  <c r="S71" s="1"/>
  <c r="I71"/>
  <c r="I70"/>
  <c r="I69"/>
  <c r="I68"/>
  <c r="I67"/>
  <c r="L66"/>
  <c r="G66"/>
  <c r="M65"/>
  <c r="M64"/>
  <c r="I64"/>
  <c r="M63"/>
  <c r="M62"/>
  <c r="I62"/>
  <c r="M61"/>
  <c r="I60"/>
  <c r="I58"/>
  <c r="L57"/>
  <c r="G57"/>
  <c r="K47"/>
  <c r="K46"/>
  <c r="K45"/>
  <c r="L43"/>
  <c r="I43"/>
  <c r="I42" s="1"/>
  <c r="H43"/>
  <c r="G43"/>
  <c r="G42" s="1"/>
  <c r="L42"/>
  <c r="O41"/>
  <c r="M41"/>
  <c r="K41"/>
  <c r="K40"/>
  <c r="I40"/>
  <c r="I39" s="1"/>
  <c r="H40"/>
  <c r="H39" s="1"/>
  <c r="G40"/>
  <c r="G39" s="1"/>
  <c r="L39"/>
  <c r="K39"/>
  <c r="K38"/>
  <c r="M38" s="1"/>
  <c r="O37"/>
  <c r="K37"/>
  <c r="M37" s="1"/>
  <c r="P37" s="1"/>
  <c r="T36"/>
  <c r="K36"/>
  <c r="M36" s="1"/>
  <c r="L35"/>
  <c r="K35"/>
  <c r="I35"/>
  <c r="H35"/>
  <c r="G33"/>
  <c r="G32"/>
  <c r="M31"/>
  <c r="G31"/>
  <c r="T30"/>
  <c r="M29"/>
  <c r="O29" s="1"/>
  <c r="G29"/>
  <c r="T29" s="1"/>
  <c r="G28"/>
  <c r="T26"/>
  <c r="M26"/>
  <c r="S26" s="1"/>
  <c r="G22"/>
  <c r="G20"/>
  <c r="G18"/>
  <c r="O17"/>
  <c r="M17"/>
  <c r="J17" s="1"/>
  <c r="G16"/>
  <c r="G15"/>
  <c r="I14"/>
  <c r="I13" s="1"/>
  <c r="H14"/>
  <c r="K13"/>
  <c r="O12"/>
  <c r="M12"/>
  <c r="J12" s="1"/>
  <c r="K12"/>
  <c r="G12"/>
  <c r="T11"/>
  <c r="K11"/>
  <c r="M11" s="1"/>
  <c r="L10"/>
  <c r="K10"/>
  <c r="I10"/>
  <c r="H10"/>
  <c r="L8"/>
  <c r="L7" s="1"/>
  <c r="K8"/>
  <c r="I8"/>
  <c r="H8"/>
  <c r="G8"/>
  <c r="K7"/>
  <c r="K6"/>
  <c r="H5" i="92"/>
  <c r="I5"/>
  <c r="J5"/>
  <c r="K5"/>
  <c r="L5"/>
  <c r="M5"/>
  <c r="N5"/>
  <c r="O317" i="93" l="1"/>
  <c r="S105"/>
  <c r="M51"/>
  <c r="M55"/>
  <c r="S55" s="1"/>
  <c r="M53"/>
  <c r="S53" s="1"/>
  <c r="M52"/>
  <c r="S64"/>
  <c r="M54"/>
  <c r="S206"/>
  <c r="T184"/>
  <c r="S184"/>
  <c r="S243"/>
  <c r="O353"/>
  <c r="J340"/>
  <c r="O340"/>
  <c r="S340"/>
  <c r="S357"/>
  <c r="S351"/>
  <c r="S328"/>
  <c r="P322"/>
  <c r="O322"/>
  <c r="P308"/>
  <c r="S308"/>
  <c r="M306"/>
  <c r="J306" s="1"/>
  <c r="S302"/>
  <c r="O284"/>
  <c r="S287"/>
  <c r="O287"/>
  <c r="P294"/>
  <c r="O294"/>
  <c r="O292"/>
  <c r="O286"/>
  <c r="S270"/>
  <c r="S229"/>
  <c r="O235"/>
  <c r="P223"/>
  <c r="S218"/>
  <c r="S209"/>
  <c r="S180"/>
  <c r="P184"/>
  <c r="O184"/>
  <c r="O164"/>
  <c r="S95"/>
  <c r="O95"/>
  <c r="J78"/>
  <c r="S80"/>
  <c r="S68"/>
  <c r="O68"/>
  <c r="O70"/>
  <c r="O71"/>
  <c r="M60"/>
  <c r="M58"/>
  <c r="M48" s="1"/>
  <c r="O69"/>
  <c r="G84"/>
  <c r="G75"/>
  <c r="S138"/>
  <c r="S129"/>
  <c r="S120"/>
  <c r="S111"/>
  <c r="O121"/>
  <c r="O111"/>
  <c r="P141"/>
  <c r="P131"/>
  <c r="P121"/>
  <c r="P111"/>
  <c r="O138"/>
  <c r="O128"/>
  <c r="O118"/>
  <c r="S141"/>
  <c r="P138"/>
  <c r="S131"/>
  <c r="P128"/>
  <c r="S121"/>
  <c r="P118"/>
  <c r="O145"/>
  <c r="O135"/>
  <c r="O125"/>
  <c r="O115"/>
  <c r="P145"/>
  <c r="P135"/>
  <c r="P125"/>
  <c r="P115"/>
  <c r="O142"/>
  <c r="O132"/>
  <c r="O122"/>
  <c r="O112"/>
  <c r="O133"/>
  <c r="O113"/>
  <c r="O140"/>
  <c r="O130"/>
  <c r="O120"/>
  <c r="P130"/>
  <c r="S123"/>
  <c r="P120"/>
  <c r="O123"/>
  <c r="O143"/>
  <c r="P143"/>
  <c r="P133"/>
  <c r="P113"/>
  <c r="P140"/>
  <c r="O137"/>
  <c r="O127"/>
  <c r="O117"/>
  <c r="S62"/>
  <c r="H175"/>
  <c r="S188"/>
  <c r="S193"/>
  <c r="T159"/>
  <c r="T360"/>
  <c r="G359"/>
  <c r="S315"/>
  <c r="O315"/>
  <c r="P262"/>
  <c r="G280"/>
  <c r="S322"/>
  <c r="S341"/>
  <c r="H66"/>
  <c r="P216"/>
  <c r="O230"/>
  <c r="S237"/>
  <c r="S321"/>
  <c r="O326"/>
  <c r="O334"/>
  <c r="O67"/>
  <c r="P104"/>
  <c r="O179"/>
  <c r="O216"/>
  <c r="O308"/>
  <c r="O307" s="1"/>
  <c r="I7"/>
  <c r="L329"/>
  <c r="K248"/>
  <c r="K247" s="1"/>
  <c r="K225" s="1"/>
  <c r="S28"/>
  <c r="S107"/>
  <c r="O83"/>
  <c r="O234"/>
  <c r="L304"/>
  <c r="L275" s="1"/>
  <c r="H7"/>
  <c r="I66"/>
  <c r="S250"/>
  <c r="K307"/>
  <c r="K304" s="1"/>
  <c r="S284"/>
  <c r="S83"/>
  <c r="P26"/>
  <c r="M59"/>
  <c r="M49" s="1"/>
  <c r="S163"/>
  <c r="O323"/>
  <c r="J205"/>
  <c r="O205"/>
  <c r="O173"/>
  <c r="S96"/>
  <c r="J96"/>
  <c r="O96"/>
  <c r="S298"/>
  <c r="J182"/>
  <c r="T182" s="1"/>
  <c r="O182"/>
  <c r="S182"/>
  <c r="S207"/>
  <c r="O207"/>
  <c r="J207"/>
  <c r="T207" s="1"/>
  <c r="J219"/>
  <c r="T219" s="1"/>
  <c r="P211"/>
  <c r="S211"/>
  <c r="O211"/>
  <c r="P326"/>
  <c r="S314"/>
  <c r="O314"/>
  <c r="J314"/>
  <c r="O24"/>
  <c r="P165"/>
  <c r="O165"/>
  <c r="P149"/>
  <c r="O149"/>
  <c r="M148"/>
  <c r="O148" s="1"/>
  <c r="O170"/>
  <c r="P170"/>
  <c r="S241"/>
  <c r="O241"/>
  <c r="P241"/>
  <c r="J312"/>
  <c r="O233"/>
  <c r="J233"/>
  <c r="P233" s="1"/>
  <c r="O186"/>
  <c r="P186"/>
  <c r="P230"/>
  <c r="J202"/>
  <c r="O202"/>
  <c r="S202"/>
  <c r="O194"/>
  <c r="P194"/>
  <c r="S194"/>
  <c r="S283"/>
  <c r="K200"/>
  <c r="K198"/>
  <c r="S233"/>
  <c r="S242"/>
  <c r="J271"/>
  <c r="T271" s="1"/>
  <c r="J319"/>
  <c r="P319" s="1"/>
  <c r="S210"/>
  <c r="S319"/>
  <c r="S350"/>
  <c r="J69"/>
  <c r="O214"/>
  <c r="S294"/>
  <c r="J315"/>
  <c r="P315" s="1"/>
  <c r="J73"/>
  <c r="P73" s="1"/>
  <c r="K93"/>
  <c r="O190"/>
  <c r="P210"/>
  <c r="O318"/>
  <c r="S78"/>
  <c r="S159"/>
  <c r="S186"/>
  <c r="O78"/>
  <c r="O159"/>
  <c r="O189"/>
  <c r="O262"/>
  <c r="S165"/>
  <c r="S181"/>
  <c r="J71"/>
  <c r="P71" s="1"/>
  <c r="S259"/>
  <c r="S238"/>
  <c r="J67"/>
  <c r="P67" s="1"/>
  <c r="J95"/>
  <c r="P95" s="1"/>
  <c r="P259"/>
  <c r="S353"/>
  <c r="S170"/>
  <c r="J235"/>
  <c r="P235" s="1"/>
  <c r="P287"/>
  <c r="S235"/>
  <c r="J317"/>
  <c r="P317" s="1"/>
  <c r="P164"/>
  <c r="S208"/>
  <c r="K148"/>
  <c r="P238"/>
  <c r="O259"/>
  <c r="O271"/>
  <c r="J68"/>
  <c r="S318"/>
  <c r="S223"/>
  <c r="K57"/>
  <c r="S295"/>
  <c r="S99"/>
  <c r="J179"/>
  <c r="P179" s="1"/>
  <c r="S191"/>
  <c r="M10"/>
  <c r="O10" s="1"/>
  <c r="S167"/>
  <c r="S179"/>
  <c r="O242"/>
  <c r="O312"/>
  <c r="O319"/>
  <c r="S326"/>
  <c r="S153"/>
  <c r="M152"/>
  <c r="S152" s="1"/>
  <c r="S44"/>
  <c r="M43"/>
  <c r="O44"/>
  <c r="K43"/>
  <c r="K42" s="1"/>
  <c r="J44"/>
  <c r="T37"/>
  <c r="M8"/>
  <c r="M7" s="1"/>
  <c r="J9"/>
  <c r="J8" s="1"/>
  <c r="O9"/>
  <c r="S17"/>
  <c r="T17"/>
  <c r="S30"/>
  <c r="O30"/>
  <c r="P30"/>
  <c r="S34"/>
  <c r="O16"/>
  <c r="S19"/>
  <c r="O19"/>
  <c r="O18"/>
  <c r="S29"/>
  <c r="L14"/>
  <c r="L13" s="1"/>
  <c r="S15"/>
  <c r="O15"/>
  <c r="J16"/>
  <c r="P16" s="1"/>
  <c r="J19"/>
  <c r="O203"/>
  <c r="S203"/>
  <c r="J203"/>
  <c r="P260"/>
  <c r="T260"/>
  <c r="P160"/>
  <c r="P222"/>
  <c r="P316"/>
  <c r="J320"/>
  <c r="O320"/>
  <c r="S320"/>
  <c r="O282"/>
  <c r="J89"/>
  <c r="O89"/>
  <c r="S89"/>
  <c r="G279"/>
  <c r="P22"/>
  <c r="P185"/>
  <c r="O171"/>
  <c r="P171"/>
  <c r="P81"/>
  <c r="O236"/>
  <c r="P236"/>
  <c r="S236"/>
  <c r="O362"/>
  <c r="P362"/>
  <c r="S362"/>
  <c r="O166"/>
  <c r="P166"/>
  <c r="T254"/>
  <c r="O254"/>
  <c r="J99"/>
  <c r="O99"/>
  <c r="O361"/>
  <c r="P361"/>
  <c r="S361"/>
  <c r="M360"/>
  <c r="S86"/>
  <c r="J86"/>
  <c r="P86" s="1"/>
  <c r="O174"/>
  <c r="J174"/>
  <c r="T174" s="1"/>
  <c r="H247"/>
  <c r="O32"/>
  <c r="J32"/>
  <c r="T32" s="1"/>
  <c r="T183"/>
  <c r="S183"/>
  <c r="M227"/>
  <c r="J228"/>
  <c r="O240"/>
  <c r="J240"/>
  <c r="J255"/>
  <c r="O255"/>
  <c r="S255"/>
  <c r="P334"/>
  <c r="M338"/>
  <c r="O339"/>
  <c r="J232"/>
  <c r="T232" s="1"/>
  <c r="J87"/>
  <c r="O87"/>
  <c r="G304"/>
  <c r="T339"/>
  <c r="G338"/>
  <c r="S339"/>
  <c r="K227"/>
  <c r="H311"/>
  <c r="O161"/>
  <c r="J218"/>
  <c r="O218"/>
  <c r="O264"/>
  <c r="S264"/>
  <c r="O348"/>
  <c r="P348"/>
  <c r="S348"/>
  <c r="K311"/>
  <c r="K310" s="1"/>
  <c r="P83"/>
  <c r="J281"/>
  <c r="T281" s="1"/>
  <c r="O281"/>
  <c r="N363"/>
  <c r="O363"/>
  <c r="P363"/>
  <c r="S363"/>
  <c r="O23"/>
  <c r="J23"/>
  <c r="P15"/>
  <c r="S239"/>
  <c r="T239"/>
  <c r="S265"/>
  <c r="J265"/>
  <c r="O265"/>
  <c r="O303"/>
  <c r="S303"/>
  <c r="G151"/>
  <c r="T152"/>
  <c r="P189"/>
  <c r="J213"/>
  <c r="O213"/>
  <c r="J297"/>
  <c r="O297"/>
  <c r="S297"/>
  <c r="M76"/>
  <c r="K75"/>
  <c r="P181"/>
  <c r="G247"/>
  <c r="J342"/>
  <c r="O342"/>
  <c r="O354"/>
  <c r="P354"/>
  <c r="S354"/>
  <c r="H42"/>
  <c r="O94"/>
  <c r="S94"/>
  <c r="J94"/>
  <c r="O107"/>
  <c r="O169"/>
  <c r="P169"/>
  <c r="S169"/>
  <c r="T185"/>
  <c r="S185"/>
  <c r="S189"/>
  <c r="T189"/>
  <c r="P212"/>
  <c r="O212"/>
  <c r="S217"/>
  <c r="J217"/>
  <c r="O217"/>
  <c r="H252"/>
  <c r="O269"/>
  <c r="S269"/>
  <c r="P269"/>
  <c r="J274"/>
  <c r="O274"/>
  <c r="M273"/>
  <c r="S273" s="1"/>
  <c r="P284"/>
  <c r="S343"/>
  <c r="J264"/>
  <c r="P17"/>
  <c r="O72"/>
  <c r="S342"/>
  <c r="O36"/>
  <c r="P36"/>
  <c r="S36"/>
  <c r="M35"/>
  <c r="O35" s="1"/>
  <c r="G47"/>
  <c r="J62"/>
  <c r="O62"/>
  <c r="J173"/>
  <c r="S173"/>
  <c r="S205"/>
  <c r="G252"/>
  <c r="J337"/>
  <c r="O337"/>
  <c r="S337"/>
  <c r="O341"/>
  <c r="K66"/>
  <c r="J356"/>
  <c r="O356"/>
  <c r="G227"/>
  <c r="S228"/>
  <c r="J343"/>
  <c r="O343"/>
  <c r="G200"/>
  <c r="S18"/>
  <c r="H151"/>
  <c r="J193"/>
  <c r="O193"/>
  <c r="O185"/>
  <c r="J85"/>
  <c r="O85"/>
  <c r="M84"/>
  <c r="O209"/>
  <c r="O263"/>
  <c r="P263"/>
  <c r="S263"/>
  <c r="J278"/>
  <c r="O278"/>
  <c r="M277"/>
  <c r="O288"/>
  <c r="K300"/>
  <c r="M301"/>
  <c r="S301" s="1"/>
  <c r="P341"/>
  <c r="H359"/>
  <c r="S356"/>
  <c r="J70"/>
  <c r="J303"/>
  <c r="J72"/>
  <c r="S168"/>
  <c r="L225"/>
  <c r="G10"/>
  <c r="S12"/>
  <c r="T12"/>
  <c r="O162"/>
  <c r="S162"/>
  <c r="T293"/>
  <c r="S293"/>
  <c r="S212"/>
  <c r="T212"/>
  <c r="M20"/>
  <c r="K14"/>
  <c r="O26"/>
  <c r="S61"/>
  <c r="J61"/>
  <c r="S65"/>
  <c r="J65"/>
  <c r="J55" s="1"/>
  <c r="O204"/>
  <c r="J204"/>
  <c r="O246"/>
  <c r="J296"/>
  <c r="O296"/>
  <c r="G300"/>
  <c r="O347"/>
  <c r="P347"/>
  <c r="S347"/>
  <c r="K84"/>
  <c r="G177"/>
  <c r="J234"/>
  <c r="T234" s="1"/>
  <c r="J290"/>
  <c r="O290"/>
  <c r="G324"/>
  <c r="S82"/>
  <c r="J82"/>
  <c r="O82"/>
  <c r="S219"/>
  <c r="S349"/>
  <c r="T349"/>
  <c r="S31"/>
  <c r="T31"/>
  <c r="H13"/>
  <c r="S38"/>
  <c r="J38"/>
  <c r="O38"/>
  <c r="O208"/>
  <c r="J208"/>
  <c r="T208" s="1"/>
  <c r="S230"/>
  <c r="T230"/>
  <c r="O295"/>
  <c r="S178"/>
  <c r="M97"/>
  <c r="S234"/>
  <c r="J246"/>
  <c r="J10"/>
  <c r="P10" s="1"/>
  <c r="O316"/>
  <c r="S316"/>
  <c r="S63"/>
  <c r="J63"/>
  <c r="J53" s="1"/>
  <c r="O63"/>
  <c r="O22"/>
  <c r="S216"/>
  <c r="T216"/>
  <c r="S246"/>
  <c r="G272"/>
  <c r="P295"/>
  <c r="O309"/>
  <c r="M307"/>
  <c r="S307" s="1"/>
  <c r="S309"/>
  <c r="J336"/>
  <c r="O336"/>
  <c r="S352"/>
  <c r="J352"/>
  <c r="O352"/>
  <c r="J358"/>
  <c r="O358"/>
  <c r="S358"/>
  <c r="O349"/>
  <c r="O21"/>
  <c r="J21"/>
  <c r="P197"/>
  <c r="M196"/>
  <c r="P196" s="1"/>
  <c r="O261"/>
  <c r="O239"/>
  <c r="P239"/>
  <c r="I59"/>
  <c r="P182"/>
  <c r="H279"/>
  <c r="J332"/>
  <c r="O332"/>
  <c r="M331"/>
  <c r="O331" s="1"/>
  <c r="S90"/>
  <c r="J90"/>
  <c r="P90" s="1"/>
  <c r="O33"/>
  <c r="O79"/>
  <c r="S79"/>
  <c r="O172"/>
  <c r="J172"/>
  <c r="S158"/>
  <c r="O158"/>
  <c r="J180"/>
  <c r="O180"/>
  <c r="J245"/>
  <c r="O245"/>
  <c r="P268"/>
  <c r="O268"/>
  <c r="O335"/>
  <c r="S335"/>
  <c r="P101"/>
  <c r="M257"/>
  <c r="K253"/>
  <c r="K252" s="1"/>
  <c r="K251" s="1"/>
  <c r="O346"/>
  <c r="J351"/>
  <c r="O351"/>
  <c r="M280"/>
  <c r="S232"/>
  <c r="J18"/>
  <c r="S174"/>
  <c r="H57"/>
  <c r="J309"/>
  <c r="P12"/>
  <c r="J33"/>
  <c r="O74"/>
  <c r="J79"/>
  <c r="I198"/>
  <c r="J335"/>
  <c r="I100"/>
  <c r="J266"/>
  <c r="O266"/>
  <c r="J28"/>
  <c r="O28"/>
  <c r="S77"/>
  <c r="J77"/>
  <c r="O77"/>
  <c r="S148"/>
  <c r="M147"/>
  <c r="O147" s="1"/>
  <c r="O243"/>
  <c r="I63"/>
  <c r="S286"/>
  <c r="T286"/>
  <c r="O355"/>
  <c r="S355"/>
  <c r="P355"/>
  <c r="M221"/>
  <c r="S221" s="1"/>
  <c r="S98"/>
  <c r="J98"/>
  <c r="P98" s="1"/>
  <c r="I61"/>
  <c r="P219"/>
  <c r="J344"/>
  <c r="T344" s="1"/>
  <c r="O344"/>
  <c r="O31"/>
  <c r="P31"/>
  <c r="P214"/>
  <c r="S214"/>
  <c r="O249"/>
  <c r="M248"/>
  <c r="S248" s="1"/>
  <c r="J91"/>
  <c r="O91"/>
  <c r="M177"/>
  <c r="O231"/>
  <c r="J231"/>
  <c r="O285"/>
  <c r="T285"/>
  <c r="O293"/>
  <c r="P293"/>
  <c r="O160"/>
  <c r="S160"/>
  <c r="S81"/>
  <c r="O25"/>
  <c r="S25"/>
  <c r="J25"/>
  <c r="I65"/>
  <c r="J150"/>
  <c r="O150"/>
  <c r="J168"/>
  <c r="O168"/>
  <c r="M40"/>
  <c r="S41"/>
  <c r="S88"/>
  <c r="J88"/>
  <c r="P88" s="1"/>
  <c r="P167"/>
  <c r="O187"/>
  <c r="P187"/>
  <c r="S187"/>
  <c r="O191"/>
  <c r="H198"/>
  <c r="O215"/>
  <c r="P215"/>
  <c r="S215"/>
  <c r="G14"/>
  <c r="S16"/>
  <c r="J24"/>
  <c r="S24"/>
  <c r="S37"/>
  <c r="J64"/>
  <c r="J54" s="1"/>
  <c r="O64"/>
  <c r="S171"/>
  <c r="T171"/>
  <c r="P183"/>
  <c r="J224"/>
  <c r="J221" s="1"/>
  <c r="O224"/>
  <c r="S244"/>
  <c r="J244"/>
  <c r="O244"/>
  <c r="O250"/>
  <c r="P250"/>
  <c r="O256"/>
  <c r="S256"/>
  <c r="J256"/>
  <c r="O267"/>
  <c r="P267"/>
  <c r="S267"/>
  <c r="O345"/>
  <c r="S345"/>
  <c r="J178"/>
  <c r="T178" s="1"/>
  <c r="S22"/>
  <c r="S33"/>
  <c r="P271"/>
  <c r="K280"/>
  <c r="K279" s="1"/>
  <c r="S32"/>
  <c r="J74"/>
  <c r="O228"/>
  <c r="S282"/>
  <c r="P286"/>
  <c r="P339"/>
  <c r="O260"/>
  <c r="S260"/>
  <c r="O11"/>
  <c r="P11"/>
  <c r="S11"/>
  <c r="S27"/>
  <c r="J27"/>
  <c r="O27"/>
  <c r="K325"/>
  <c r="K324" s="1"/>
  <c r="M327"/>
  <c r="S327" s="1"/>
  <c r="S92"/>
  <c r="J92"/>
  <c r="P92" s="1"/>
  <c r="M157"/>
  <c r="K156"/>
  <c r="P350"/>
  <c r="O350"/>
  <c r="S231"/>
  <c r="T15"/>
  <c r="L47"/>
  <c r="L46" s="1"/>
  <c r="L45" s="1"/>
  <c r="S87"/>
  <c r="I175"/>
  <c r="S197"/>
  <c r="S240"/>
  <c r="S261"/>
  <c r="S281"/>
  <c r="S290"/>
  <c r="P192"/>
  <c r="P237"/>
  <c r="P289"/>
  <c r="T295"/>
  <c r="J302"/>
  <c r="M311"/>
  <c r="S311" s="1"/>
  <c r="J328"/>
  <c r="T341"/>
  <c r="T22"/>
  <c r="P29"/>
  <c r="J34"/>
  <c r="J80"/>
  <c r="P105"/>
  <c r="O167"/>
  <c r="O181"/>
  <c r="J188"/>
  <c r="O192"/>
  <c r="J229"/>
  <c r="O237"/>
  <c r="O258"/>
  <c r="O289"/>
  <c r="O291"/>
  <c r="J298"/>
  <c r="J313"/>
  <c r="P313" s="1"/>
  <c r="O321"/>
  <c r="O333"/>
  <c r="M102"/>
  <c r="P102" s="1"/>
  <c r="O183"/>
  <c r="O219"/>
  <c r="H272"/>
  <c r="I313"/>
  <c r="J359"/>
  <c r="S262"/>
  <c r="S312"/>
  <c r="I86"/>
  <c r="O86" s="1"/>
  <c r="I88"/>
  <c r="I90"/>
  <c r="I92"/>
  <c r="I98"/>
  <c r="O98" s="1"/>
  <c r="J100"/>
  <c r="P100" s="1"/>
  <c r="M201"/>
  <c r="J291"/>
  <c r="T291" s="1"/>
  <c r="J321"/>
  <c r="J333"/>
  <c r="G156"/>
  <c r="K360"/>
  <c r="K359" s="1"/>
  <c r="T326"/>
  <c r="M66"/>
  <c r="H299"/>
  <c r="P353"/>
  <c r="T196"/>
  <c r="H93"/>
  <c r="T165"/>
  <c r="T242"/>
  <c r="S285"/>
  <c r="O106"/>
  <c r="S149"/>
  <c r="P153"/>
  <c r="S190"/>
  <c r="T350"/>
  <c r="J195"/>
  <c r="P106"/>
  <c r="S109"/>
  <c r="O34"/>
  <c r="O80"/>
  <c r="P109"/>
  <c r="O153"/>
  <c r="O163"/>
  <c r="T167"/>
  <c r="O188"/>
  <c r="O206"/>
  <c r="O229"/>
  <c r="O270"/>
  <c r="O283"/>
  <c r="O298"/>
  <c r="O302"/>
  <c r="O328"/>
  <c r="H274" i="92"/>
  <c r="H275"/>
  <c r="H282"/>
  <c r="H281"/>
  <c r="H280"/>
  <c r="H277"/>
  <c r="H276"/>
  <c r="P312" i="93" l="1"/>
  <c r="J52"/>
  <c r="J51"/>
  <c r="M50"/>
  <c r="O50" s="1"/>
  <c r="O65"/>
  <c r="O55"/>
  <c r="O61"/>
  <c r="P340"/>
  <c r="T319"/>
  <c r="T306"/>
  <c r="O306"/>
  <c r="P306"/>
  <c r="J305"/>
  <c r="M305"/>
  <c r="O305" s="1"/>
  <c r="S306"/>
  <c r="S280"/>
  <c r="P202"/>
  <c r="S196"/>
  <c r="P159"/>
  <c r="P78"/>
  <c r="P69"/>
  <c r="S60"/>
  <c r="J60"/>
  <c r="J50" s="1"/>
  <c r="O60"/>
  <c r="S58"/>
  <c r="J58"/>
  <c r="J48" s="1"/>
  <c r="O58"/>
  <c r="S84"/>
  <c r="P54"/>
  <c r="S59"/>
  <c r="J59"/>
  <c r="J49" s="1"/>
  <c r="M57"/>
  <c r="S57" s="1"/>
  <c r="S325"/>
  <c r="P207"/>
  <c r="T164"/>
  <c r="K5"/>
  <c r="J338"/>
  <c r="Q338" s="1"/>
  <c r="S331"/>
  <c r="P68"/>
  <c r="P314"/>
  <c r="T305"/>
  <c r="P96"/>
  <c r="J66"/>
  <c r="P66" s="1"/>
  <c r="O93"/>
  <c r="T233"/>
  <c r="T235"/>
  <c r="S147"/>
  <c r="P205"/>
  <c r="T205"/>
  <c r="O152"/>
  <c r="O151" s="1"/>
  <c r="M151"/>
  <c r="P151" s="1"/>
  <c r="P152"/>
  <c r="M42"/>
  <c r="S43"/>
  <c r="O43"/>
  <c r="P44"/>
  <c r="J43"/>
  <c r="P8"/>
  <c r="O8"/>
  <c r="J7"/>
  <c r="S8"/>
  <c r="P9"/>
  <c r="T9"/>
  <c r="L6"/>
  <c r="L5" s="1"/>
  <c r="T16"/>
  <c r="T19"/>
  <c r="P19"/>
  <c r="J97"/>
  <c r="O97"/>
  <c r="S97"/>
  <c r="P62"/>
  <c r="P87"/>
  <c r="P240"/>
  <c r="T240"/>
  <c r="O360"/>
  <c r="M359"/>
  <c r="P229"/>
  <c r="O327"/>
  <c r="M325"/>
  <c r="J327"/>
  <c r="P24"/>
  <c r="T24"/>
  <c r="P249"/>
  <c r="J248"/>
  <c r="P266"/>
  <c r="T266"/>
  <c r="P255"/>
  <c r="O40"/>
  <c r="M39"/>
  <c r="P161"/>
  <c r="T161"/>
  <c r="T151"/>
  <c r="P208"/>
  <c r="G226"/>
  <c r="S227"/>
  <c r="P65"/>
  <c r="H329"/>
  <c r="J84"/>
  <c r="P85"/>
  <c r="P221"/>
  <c r="T221"/>
  <c r="J220"/>
  <c r="G46"/>
  <c r="M200"/>
  <c r="O201"/>
  <c r="J201"/>
  <c r="O221"/>
  <c r="M220"/>
  <c r="S220" s="1"/>
  <c r="P336"/>
  <c r="T336"/>
  <c r="P91"/>
  <c r="P77"/>
  <c r="O257"/>
  <c r="S257"/>
  <c r="J253"/>
  <c r="P63"/>
  <c r="T10"/>
  <c r="G7"/>
  <c r="S10"/>
  <c r="P217"/>
  <c r="T217"/>
  <c r="S338"/>
  <c r="G330"/>
  <c r="M330"/>
  <c r="O338"/>
  <c r="O88"/>
  <c r="P72"/>
  <c r="P228"/>
  <c r="J227"/>
  <c r="T227" s="1"/>
  <c r="P61"/>
  <c r="P270"/>
  <c r="T270"/>
  <c r="P321"/>
  <c r="P328"/>
  <c r="P256"/>
  <c r="T256"/>
  <c r="P64"/>
  <c r="O196"/>
  <c r="M195"/>
  <c r="S195" s="1"/>
  <c r="G251"/>
  <c r="P297"/>
  <c r="I93"/>
  <c r="H47"/>
  <c r="P21"/>
  <c r="T21"/>
  <c r="P158"/>
  <c r="S54"/>
  <c r="P25"/>
  <c r="T25"/>
  <c r="J307"/>
  <c r="P309"/>
  <c r="P180"/>
  <c r="T180"/>
  <c r="P261"/>
  <c r="T261"/>
  <c r="M272"/>
  <c r="S272" s="1"/>
  <c r="O273"/>
  <c r="P342"/>
  <c r="P343"/>
  <c r="G199"/>
  <c r="O20"/>
  <c r="J20"/>
  <c r="O227"/>
  <c r="M226"/>
  <c r="P335"/>
  <c r="T335"/>
  <c r="O277"/>
  <c r="O276" s="1"/>
  <c r="M276"/>
  <c r="P74"/>
  <c r="P41"/>
  <c r="J40"/>
  <c r="T41"/>
  <c r="O49"/>
  <c r="I57"/>
  <c r="P246"/>
  <c r="P288"/>
  <c r="T288"/>
  <c r="S52"/>
  <c r="M310"/>
  <c r="P298"/>
  <c r="T298"/>
  <c r="P33"/>
  <c r="P346"/>
  <c r="T346"/>
  <c r="P337"/>
  <c r="T337"/>
  <c r="H251"/>
  <c r="S76"/>
  <c r="M75"/>
  <c r="S75" s="1"/>
  <c r="J76"/>
  <c r="O76"/>
  <c r="O75" s="1"/>
  <c r="P320"/>
  <c r="S277"/>
  <c r="S201"/>
  <c r="M93"/>
  <c r="S93" s="1"/>
  <c r="P18"/>
  <c r="O54"/>
  <c r="O52"/>
  <c r="P356"/>
  <c r="O7"/>
  <c r="O248"/>
  <c r="M247"/>
  <c r="S247" s="1"/>
  <c r="P28"/>
  <c r="T28"/>
  <c r="P173"/>
  <c r="T258"/>
  <c r="P258"/>
  <c r="P332"/>
  <c r="T332"/>
  <c r="J331"/>
  <c r="G155"/>
  <c r="S157"/>
  <c r="M156"/>
  <c r="O157"/>
  <c r="P162"/>
  <c r="T162"/>
  <c r="P351"/>
  <c r="T351"/>
  <c r="S177"/>
  <c r="G176"/>
  <c r="P204"/>
  <c r="P94"/>
  <c r="P232"/>
  <c r="P32"/>
  <c r="P254"/>
  <c r="O92"/>
  <c r="S35"/>
  <c r="H225"/>
  <c r="J177"/>
  <c r="P178"/>
  <c r="P218"/>
  <c r="M300"/>
  <c r="S300" s="1"/>
  <c r="P301"/>
  <c r="O301"/>
  <c r="T264"/>
  <c r="P264"/>
  <c r="P23"/>
  <c r="T23"/>
  <c r="P213"/>
  <c r="T213"/>
  <c r="P291"/>
  <c r="T333"/>
  <c r="P333"/>
  <c r="M176"/>
  <c r="O177"/>
  <c r="T352"/>
  <c r="P352"/>
  <c r="P34"/>
  <c r="T34"/>
  <c r="P80"/>
  <c r="P345"/>
  <c r="T345"/>
  <c r="P150"/>
  <c r="J148"/>
  <c r="P231"/>
  <c r="S49"/>
  <c r="P358"/>
  <c r="T358"/>
  <c r="P234"/>
  <c r="T343"/>
  <c r="M253"/>
  <c r="T18"/>
  <c r="T27"/>
  <c r="P27"/>
  <c r="P89"/>
  <c r="G13"/>
  <c r="P206"/>
  <c r="T206"/>
  <c r="P283"/>
  <c r="T283"/>
  <c r="S66"/>
  <c r="O66"/>
  <c r="P344"/>
  <c r="O53"/>
  <c r="P79"/>
  <c r="P265"/>
  <c r="T265"/>
  <c r="P281"/>
  <c r="J280"/>
  <c r="T228"/>
  <c r="T356"/>
  <c r="S102"/>
  <c r="M14"/>
  <c r="O100"/>
  <c r="O313"/>
  <c r="O90"/>
  <c r="S360"/>
  <c r="P360"/>
  <c r="J311"/>
  <c r="P244"/>
  <c r="T244"/>
  <c r="P188"/>
  <c r="T188"/>
  <c r="G299"/>
  <c r="G275" s="1"/>
  <c r="P82"/>
  <c r="P203"/>
  <c r="T203"/>
  <c r="P172"/>
  <c r="T172"/>
  <c r="J300"/>
  <c r="T300" s="1"/>
  <c r="P302"/>
  <c r="P174"/>
  <c r="P70"/>
  <c r="P224"/>
  <c r="O280"/>
  <c r="M279"/>
  <c r="O279" s="1"/>
  <c r="P290"/>
  <c r="T290"/>
  <c r="P296"/>
  <c r="P303"/>
  <c r="P278"/>
  <c r="J277"/>
  <c r="P274"/>
  <c r="J273"/>
  <c r="P99"/>
  <c r="P195"/>
  <c r="I84"/>
  <c r="P163"/>
  <c r="T163"/>
  <c r="P168"/>
  <c r="T168"/>
  <c r="P285"/>
  <c r="P38"/>
  <c r="J35"/>
  <c r="P193"/>
  <c r="T193"/>
  <c r="H310"/>
  <c r="P282"/>
  <c r="S20"/>
  <c r="O59"/>
  <c r="S40"/>
  <c r="T246"/>
  <c r="I311"/>
  <c r="I310" s="1"/>
  <c r="I304" s="1"/>
  <c r="I275" s="1"/>
  <c r="J292" i="92"/>
  <c r="R289"/>
  <c r="M292"/>
  <c r="H289"/>
  <c r="I289"/>
  <c r="L289"/>
  <c r="G291"/>
  <c r="M287"/>
  <c r="J287" s="1"/>
  <c r="G286"/>
  <c r="H264"/>
  <c r="I264"/>
  <c r="L264"/>
  <c r="G264"/>
  <c r="G265"/>
  <c r="M266"/>
  <c r="J266" s="1"/>
  <c r="G157"/>
  <c r="G156"/>
  <c r="I85"/>
  <c r="H91"/>
  <c r="H90"/>
  <c r="H89"/>
  <c r="H88"/>
  <c r="H85"/>
  <c r="H74"/>
  <c r="H73"/>
  <c r="H72"/>
  <c r="H71"/>
  <c r="H70"/>
  <c r="H69"/>
  <c r="H68"/>
  <c r="H67"/>
  <c r="H65"/>
  <c r="H64"/>
  <c r="H63"/>
  <c r="H62"/>
  <c r="H61"/>
  <c r="H60"/>
  <c r="H59"/>
  <c r="H58"/>
  <c r="I14"/>
  <c r="G32"/>
  <c r="G33"/>
  <c r="G185"/>
  <c r="G187"/>
  <c r="G176"/>
  <c r="G175"/>
  <c r="G210"/>
  <c r="G207"/>
  <c r="G206"/>
  <c r="G208"/>
  <c r="G192"/>
  <c r="O57" i="93" l="1"/>
  <c r="P60"/>
  <c r="P58"/>
  <c r="J330"/>
  <c r="P338"/>
  <c r="T338"/>
  <c r="S305"/>
  <c r="P305"/>
  <c r="S50"/>
  <c r="P49"/>
  <c r="P59"/>
  <c r="J57"/>
  <c r="P7"/>
  <c r="O84"/>
  <c r="S151"/>
  <c r="O42"/>
  <c r="S42"/>
  <c r="J42"/>
  <c r="P43"/>
  <c r="P277"/>
  <c r="J276"/>
  <c r="P35"/>
  <c r="T35"/>
  <c r="M329"/>
  <c r="O329" s="1"/>
  <c r="O330"/>
  <c r="S51"/>
  <c r="O51"/>
  <c r="P220"/>
  <c r="O156"/>
  <c r="M155"/>
  <c r="S155" s="1"/>
  <c r="P253"/>
  <c r="J252"/>
  <c r="T253"/>
  <c r="O325"/>
  <c r="O324" s="1"/>
  <c r="M324"/>
  <c r="S324" s="1"/>
  <c r="G154"/>
  <c r="O253"/>
  <c r="M252"/>
  <c r="S253"/>
  <c r="M199"/>
  <c r="S199" s="1"/>
  <c r="O200"/>
  <c r="G225"/>
  <c r="S226"/>
  <c r="O311"/>
  <c r="O359"/>
  <c r="S359"/>
  <c r="O39"/>
  <c r="S39"/>
  <c r="O310"/>
  <c r="S310"/>
  <c r="G45"/>
  <c r="P53"/>
  <c r="J299"/>
  <c r="P300"/>
  <c r="J156"/>
  <c r="T157"/>
  <c r="P157"/>
  <c r="J325"/>
  <c r="P327"/>
  <c r="P325" s="1"/>
  <c r="P280"/>
  <c r="J279"/>
  <c r="T280"/>
  <c r="S276"/>
  <c r="P97"/>
  <c r="P148"/>
  <c r="T148"/>
  <c r="J147"/>
  <c r="P177"/>
  <c r="J176"/>
  <c r="T176" s="1"/>
  <c r="P52"/>
  <c r="J200"/>
  <c r="P201"/>
  <c r="T201"/>
  <c r="P55"/>
  <c r="M304"/>
  <c r="T177"/>
  <c r="O226"/>
  <c r="M225"/>
  <c r="O225" s="1"/>
  <c r="H46"/>
  <c r="M13"/>
  <c r="S13" s="1"/>
  <c r="O14"/>
  <c r="O176"/>
  <c r="M175"/>
  <c r="O175" s="1"/>
  <c r="S330"/>
  <c r="G329"/>
  <c r="S176"/>
  <c r="G175"/>
  <c r="G198"/>
  <c r="P227"/>
  <c r="J226"/>
  <c r="T226" s="1"/>
  <c r="S7"/>
  <c r="I47"/>
  <c r="I46" s="1"/>
  <c r="I45" s="1"/>
  <c r="I6" s="1"/>
  <c r="I5" s="1"/>
  <c r="P273"/>
  <c r="J272"/>
  <c r="T273"/>
  <c r="P40"/>
  <c r="J39"/>
  <c r="T40"/>
  <c r="M299"/>
  <c r="S299" s="1"/>
  <c r="O300"/>
  <c r="P307"/>
  <c r="T307"/>
  <c r="S200"/>
  <c r="P20"/>
  <c r="T20"/>
  <c r="J75"/>
  <c r="P76"/>
  <c r="H304"/>
  <c r="P257"/>
  <c r="P331"/>
  <c r="T331"/>
  <c r="P84"/>
  <c r="P311"/>
  <c r="J310"/>
  <c r="J304" s="1"/>
  <c r="T311"/>
  <c r="P248"/>
  <c r="J247"/>
  <c r="T248"/>
  <c r="O48"/>
  <c r="M47"/>
  <c r="S48"/>
  <c r="P50"/>
  <c r="J14"/>
  <c r="P359"/>
  <c r="S14"/>
  <c r="J93"/>
  <c r="S156"/>
  <c r="S279"/>
  <c r="N292" i="92"/>
  <c r="S266"/>
  <c r="O266"/>
  <c r="N266"/>
  <c r="Q292"/>
  <c r="O292"/>
  <c r="P292"/>
  <c r="S292"/>
  <c r="N287"/>
  <c r="O287"/>
  <c r="P266"/>
  <c r="Q266"/>
  <c r="K291"/>
  <c r="M291" s="1"/>
  <c r="K290"/>
  <c r="K277"/>
  <c r="K278"/>
  <c r="M278" s="1"/>
  <c r="K279"/>
  <c r="M279" s="1"/>
  <c r="K280"/>
  <c r="M280" s="1"/>
  <c r="K281"/>
  <c r="M281" s="1"/>
  <c r="J281" s="1"/>
  <c r="P281" s="1"/>
  <c r="K282"/>
  <c r="M282" s="1"/>
  <c r="K283"/>
  <c r="M283" s="1"/>
  <c r="K284"/>
  <c r="M284" s="1"/>
  <c r="K285"/>
  <c r="M285" s="1"/>
  <c r="K276"/>
  <c r="M276" s="1"/>
  <c r="K273"/>
  <c r="M273" s="1"/>
  <c r="S273" s="1"/>
  <c r="K272"/>
  <c r="K270"/>
  <c r="M270" s="1"/>
  <c r="N270" s="1"/>
  <c r="N269" s="1"/>
  <c r="K267"/>
  <c r="M267" s="1"/>
  <c r="K265"/>
  <c r="M265" s="1"/>
  <c r="N265" s="1"/>
  <c r="K246"/>
  <c r="M246" s="1"/>
  <c r="K247"/>
  <c r="M247" s="1"/>
  <c r="K248"/>
  <c r="M248" s="1"/>
  <c r="J248" s="1"/>
  <c r="Q248" s="1"/>
  <c r="K249"/>
  <c r="M249" s="1"/>
  <c r="J249" s="1"/>
  <c r="K250"/>
  <c r="M250" s="1"/>
  <c r="K251"/>
  <c r="M251" s="1"/>
  <c r="K252"/>
  <c r="M252" s="1"/>
  <c r="J252" s="1"/>
  <c r="Q252" s="1"/>
  <c r="K253"/>
  <c r="M253" s="1"/>
  <c r="K254"/>
  <c r="M254" s="1"/>
  <c r="K255"/>
  <c r="M255" s="1"/>
  <c r="K256"/>
  <c r="M256" s="1"/>
  <c r="O256" s="1"/>
  <c r="K257"/>
  <c r="M257" s="1"/>
  <c r="K258"/>
  <c r="M258" s="1"/>
  <c r="K259"/>
  <c r="M259" s="1"/>
  <c r="O259" s="1"/>
  <c r="K260"/>
  <c r="M260" s="1"/>
  <c r="K261"/>
  <c r="M261" s="1"/>
  <c r="J261" s="1"/>
  <c r="P261" s="1"/>
  <c r="K262"/>
  <c r="K245"/>
  <c r="M245" s="1"/>
  <c r="J245" s="1"/>
  <c r="K219"/>
  <c r="M219" s="1"/>
  <c r="S219" s="1"/>
  <c r="K220"/>
  <c r="M220" s="1"/>
  <c r="K221"/>
  <c r="M221" s="1"/>
  <c r="K222"/>
  <c r="M222" s="1"/>
  <c r="J222" s="1"/>
  <c r="K223"/>
  <c r="M223" s="1"/>
  <c r="T223" s="1"/>
  <c r="K224"/>
  <c r="M224" s="1"/>
  <c r="K225"/>
  <c r="M225" s="1"/>
  <c r="K226"/>
  <c r="M226" s="1"/>
  <c r="K227"/>
  <c r="M227" s="1"/>
  <c r="N227" s="1"/>
  <c r="K228"/>
  <c r="M228" s="1"/>
  <c r="K229"/>
  <c r="M229" s="1"/>
  <c r="K230"/>
  <c r="M230" s="1"/>
  <c r="J230" s="1"/>
  <c r="Q230" s="1"/>
  <c r="K231"/>
  <c r="M231" s="1"/>
  <c r="N231" s="1"/>
  <c r="K232"/>
  <c r="M232" s="1"/>
  <c r="K233"/>
  <c r="M233" s="1"/>
  <c r="N233" s="1"/>
  <c r="K234"/>
  <c r="M234" s="1"/>
  <c r="K235"/>
  <c r="M235" s="1"/>
  <c r="K236"/>
  <c r="K237"/>
  <c r="K238"/>
  <c r="M238" s="1"/>
  <c r="M237" s="1"/>
  <c r="M236" s="1"/>
  <c r="K218"/>
  <c r="M218" s="1"/>
  <c r="K214"/>
  <c r="M214" s="1"/>
  <c r="K213"/>
  <c r="M213" s="1"/>
  <c r="K193"/>
  <c r="M193" s="1"/>
  <c r="J193" s="1"/>
  <c r="K194"/>
  <c r="M194" s="1"/>
  <c r="O194" s="1"/>
  <c r="K195"/>
  <c r="M195" s="1"/>
  <c r="K196"/>
  <c r="M196" s="1"/>
  <c r="K197"/>
  <c r="K198"/>
  <c r="M198" s="1"/>
  <c r="K199"/>
  <c r="M199" s="1"/>
  <c r="K200"/>
  <c r="M200" s="1"/>
  <c r="K201"/>
  <c r="M201" s="1"/>
  <c r="K202"/>
  <c r="M202" s="1"/>
  <c r="K203"/>
  <c r="M203" s="1"/>
  <c r="K204"/>
  <c r="M204" s="1"/>
  <c r="K205"/>
  <c r="M205" s="1"/>
  <c r="P205" s="1"/>
  <c r="K206"/>
  <c r="M206" s="1"/>
  <c r="K207"/>
  <c r="M207" s="1"/>
  <c r="K208"/>
  <c r="M208" s="1"/>
  <c r="J208" s="1"/>
  <c r="K209"/>
  <c r="M209" s="1"/>
  <c r="K210"/>
  <c r="K192"/>
  <c r="M192" s="1"/>
  <c r="N192" s="1"/>
  <c r="K166"/>
  <c r="M166" s="1"/>
  <c r="J166" s="1"/>
  <c r="K167"/>
  <c r="M167" s="1"/>
  <c r="J167" s="1"/>
  <c r="K168"/>
  <c r="M168" s="1"/>
  <c r="J168" s="1"/>
  <c r="K169"/>
  <c r="M169" s="1"/>
  <c r="K170"/>
  <c r="M170" s="1"/>
  <c r="J170" s="1"/>
  <c r="K171"/>
  <c r="M171" s="1"/>
  <c r="J171" s="1"/>
  <c r="K172"/>
  <c r="M172" s="1"/>
  <c r="J172" s="1"/>
  <c r="K173"/>
  <c r="M173" s="1"/>
  <c r="P173" s="1"/>
  <c r="K174"/>
  <c r="M174" s="1"/>
  <c r="K175"/>
  <c r="M175" s="1"/>
  <c r="O175" s="1"/>
  <c r="K176"/>
  <c r="M176" s="1"/>
  <c r="K177"/>
  <c r="M177" s="1"/>
  <c r="K178"/>
  <c r="M178" s="1"/>
  <c r="K179"/>
  <c r="M179" s="1"/>
  <c r="K180"/>
  <c r="K181"/>
  <c r="M181" s="1"/>
  <c r="J181" s="1"/>
  <c r="K182"/>
  <c r="M182" s="1"/>
  <c r="K183"/>
  <c r="K165"/>
  <c r="M165" s="1"/>
  <c r="N165" s="1"/>
  <c r="K143"/>
  <c r="M143" s="1"/>
  <c r="K144"/>
  <c r="M144" s="1"/>
  <c r="O144" s="1"/>
  <c r="K145"/>
  <c r="M145" s="1"/>
  <c r="K146"/>
  <c r="M146" s="1"/>
  <c r="K147"/>
  <c r="M147" s="1"/>
  <c r="J147" s="1"/>
  <c r="K148"/>
  <c r="M148" s="1"/>
  <c r="K149"/>
  <c r="M149" s="1"/>
  <c r="K150"/>
  <c r="M150" s="1"/>
  <c r="K151"/>
  <c r="M151" s="1"/>
  <c r="N151" s="1"/>
  <c r="K152"/>
  <c r="M152" s="1"/>
  <c r="J152" s="1"/>
  <c r="K153"/>
  <c r="M153" s="1"/>
  <c r="O153" s="1"/>
  <c r="K154"/>
  <c r="M154" s="1"/>
  <c r="N154" s="1"/>
  <c r="K155"/>
  <c r="M155" s="1"/>
  <c r="K156"/>
  <c r="M156" s="1"/>
  <c r="P156" s="1"/>
  <c r="K157"/>
  <c r="M157" s="1"/>
  <c r="K158"/>
  <c r="M158" s="1"/>
  <c r="K142"/>
  <c r="M142" s="1"/>
  <c r="S142" s="1"/>
  <c r="K122"/>
  <c r="M122" s="1"/>
  <c r="K123"/>
  <c r="M123" s="1"/>
  <c r="K124"/>
  <c r="M124" s="1"/>
  <c r="K125"/>
  <c r="M125" s="1"/>
  <c r="J125" s="1"/>
  <c r="T125" s="1"/>
  <c r="K126"/>
  <c r="M126" s="1"/>
  <c r="K127"/>
  <c r="M127" s="1"/>
  <c r="K128"/>
  <c r="M128" s="1"/>
  <c r="O128" s="1"/>
  <c r="K129"/>
  <c r="M129" s="1"/>
  <c r="K130"/>
  <c r="M130" s="1"/>
  <c r="P130" s="1"/>
  <c r="K131"/>
  <c r="M131" s="1"/>
  <c r="J131" s="1"/>
  <c r="K132"/>
  <c r="M132" s="1"/>
  <c r="K133"/>
  <c r="M133" s="1"/>
  <c r="K134"/>
  <c r="M134" s="1"/>
  <c r="K135"/>
  <c r="M135" s="1"/>
  <c r="K136"/>
  <c r="M136" s="1"/>
  <c r="K137"/>
  <c r="M137" s="1"/>
  <c r="S137" s="1"/>
  <c r="K138"/>
  <c r="M138" s="1"/>
  <c r="K121"/>
  <c r="M121" s="1"/>
  <c r="S121" s="1"/>
  <c r="K117"/>
  <c r="M117" s="1"/>
  <c r="O117" s="1"/>
  <c r="K95"/>
  <c r="K96"/>
  <c r="M96" s="1"/>
  <c r="K97"/>
  <c r="M97" s="1"/>
  <c r="J97" s="1"/>
  <c r="K98"/>
  <c r="M98" s="1"/>
  <c r="K99"/>
  <c r="M99" s="1"/>
  <c r="K100"/>
  <c r="M100" s="1"/>
  <c r="K101"/>
  <c r="M101" s="1"/>
  <c r="K94"/>
  <c r="M94" s="1"/>
  <c r="J94" s="1"/>
  <c r="P94" s="1"/>
  <c r="K86"/>
  <c r="M86" s="1"/>
  <c r="K87"/>
  <c r="M87" s="1"/>
  <c r="K88"/>
  <c r="M88" s="1"/>
  <c r="K89"/>
  <c r="M89" s="1"/>
  <c r="K90"/>
  <c r="M90" s="1"/>
  <c r="K91"/>
  <c r="M91" s="1"/>
  <c r="K92"/>
  <c r="M92" s="1"/>
  <c r="K85"/>
  <c r="M85" s="1"/>
  <c r="S85" s="1"/>
  <c r="K82"/>
  <c r="M82" s="1"/>
  <c r="J82" s="1"/>
  <c r="K68"/>
  <c r="M68" s="1"/>
  <c r="S68" s="1"/>
  <c r="K69"/>
  <c r="M69" s="1"/>
  <c r="K70"/>
  <c r="M70" s="1"/>
  <c r="S70" s="1"/>
  <c r="K71"/>
  <c r="M71" s="1"/>
  <c r="K72"/>
  <c r="M72" s="1"/>
  <c r="S72" s="1"/>
  <c r="K73"/>
  <c r="M73" s="1"/>
  <c r="K74"/>
  <c r="M74" s="1"/>
  <c r="S74" s="1"/>
  <c r="K67"/>
  <c r="M67" s="1"/>
  <c r="K59"/>
  <c r="M59" s="1"/>
  <c r="K60"/>
  <c r="M60" s="1"/>
  <c r="K61"/>
  <c r="M61" s="1"/>
  <c r="K62"/>
  <c r="M62" s="1"/>
  <c r="K63"/>
  <c r="M63" s="1"/>
  <c r="K64"/>
  <c r="M64" s="1"/>
  <c r="J64" s="1"/>
  <c r="K65"/>
  <c r="K58"/>
  <c r="M58" s="1"/>
  <c r="S58" s="1"/>
  <c r="K44"/>
  <c r="M44" s="1"/>
  <c r="K16"/>
  <c r="M16" s="1"/>
  <c r="K17"/>
  <c r="M17" s="1"/>
  <c r="K18"/>
  <c r="M18" s="1"/>
  <c r="K19"/>
  <c r="M19" s="1"/>
  <c r="K20"/>
  <c r="M20" s="1"/>
  <c r="J20" s="1"/>
  <c r="Q20" s="1"/>
  <c r="K21"/>
  <c r="M21" s="1"/>
  <c r="K22"/>
  <c r="M22" s="1"/>
  <c r="J22" s="1"/>
  <c r="K23"/>
  <c r="M23" s="1"/>
  <c r="K24"/>
  <c r="K25"/>
  <c r="M25" s="1"/>
  <c r="J25" s="1"/>
  <c r="P25" s="1"/>
  <c r="K26"/>
  <c r="M26" s="1"/>
  <c r="K27"/>
  <c r="M27" s="1"/>
  <c r="K28"/>
  <c r="M28" s="1"/>
  <c r="K29"/>
  <c r="M29" s="1"/>
  <c r="K30"/>
  <c r="M30" s="1"/>
  <c r="K31"/>
  <c r="M31" s="1"/>
  <c r="N31" s="1"/>
  <c r="K32"/>
  <c r="M32" s="1"/>
  <c r="O32" s="1"/>
  <c r="K33"/>
  <c r="M33" s="1"/>
  <c r="K34"/>
  <c r="M34" s="1"/>
  <c r="K15"/>
  <c r="M15" s="1"/>
  <c r="K9"/>
  <c r="M9" s="1"/>
  <c r="M8" s="1"/>
  <c r="M321"/>
  <c r="K326"/>
  <c r="M326" s="1"/>
  <c r="K325"/>
  <c r="K322"/>
  <c r="M322" s="1"/>
  <c r="K304"/>
  <c r="M304" s="1"/>
  <c r="K305"/>
  <c r="M305" s="1"/>
  <c r="J305" s="1"/>
  <c r="K306"/>
  <c r="M306" s="1"/>
  <c r="K307"/>
  <c r="M307" s="1"/>
  <c r="N307" s="1"/>
  <c r="K308"/>
  <c r="K309"/>
  <c r="M309" s="1"/>
  <c r="K310"/>
  <c r="M310" s="1"/>
  <c r="K311"/>
  <c r="M311" s="1"/>
  <c r="N311" s="1"/>
  <c r="K312"/>
  <c r="M312" s="1"/>
  <c r="K313"/>
  <c r="M313" s="1"/>
  <c r="K314"/>
  <c r="M314" s="1"/>
  <c r="K315"/>
  <c r="M315" s="1"/>
  <c r="O315" s="1"/>
  <c r="K316"/>
  <c r="M316" s="1"/>
  <c r="K317"/>
  <c r="M317" s="1"/>
  <c r="K318"/>
  <c r="M318" s="1"/>
  <c r="K319"/>
  <c r="M319" s="1"/>
  <c r="N319" s="1"/>
  <c r="K320"/>
  <c r="M320" s="1"/>
  <c r="K303"/>
  <c r="M303" s="1"/>
  <c r="G320"/>
  <c r="G317"/>
  <c r="G315"/>
  <c r="G313"/>
  <c r="Q327"/>
  <c r="K327"/>
  <c r="M327" s="1"/>
  <c r="P327" s="1"/>
  <c r="Q326"/>
  <c r="Q325"/>
  <c r="G325"/>
  <c r="L324"/>
  <c r="L323" s="1"/>
  <c r="J324"/>
  <c r="Q324" s="1"/>
  <c r="I324"/>
  <c r="I323" s="1"/>
  <c r="H324"/>
  <c r="H323" s="1"/>
  <c r="T319"/>
  <c r="Q319"/>
  <c r="G319"/>
  <c r="Q318"/>
  <c r="Q317"/>
  <c r="Q314"/>
  <c r="G314"/>
  <c r="T314" s="1"/>
  <c r="Q313"/>
  <c r="T312"/>
  <c r="Q312"/>
  <c r="G312"/>
  <c r="Q311"/>
  <c r="G311"/>
  <c r="T311" s="1"/>
  <c r="G310"/>
  <c r="G308"/>
  <c r="G307"/>
  <c r="G306"/>
  <c r="G305"/>
  <c r="G304"/>
  <c r="G303"/>
  <c r="K302"/>
  <c r="I302"/>
  <c r="I294" s="1"/>
  <c r="H302"/>
  <c r="H294" s="1"/>
  <c r="K301"/>
  <c r="M301" s="1"/>
  <c r="S301" s="1"/>
  <c r="K300"/>
  <c r="M300" s="1"/>
  <c r="M299"/>
  <c r="S299" s="1"/>
  <c r="K299"/>
  <c r="K298"/>
  <c r="M298" s="1"/>
  <c r="K297"/>
  <c r="M297" s="1"/>
  <c r="J297" s="1"/>
  <c r="K296"/>
  <c r="M296" s="1"/>
  <c r="M295" s="1"/>
  <c r="O295" s="1"/>
  <c r="L295"/>
  <c r="K295"/>
  <c r="I295"/>
  <c r="H295"/>
  <c r="G295"/>
  <c r="K294"/>
  <c r="K293"/>
  <c r="G290"/>
  <c r="G289" s="1"/>
  <c r="L288"/>
  <c r="I288"/>
  <c r="M286"/>
  <c r="G285"/>
  <c r="G283"/>
  <c r="I282"/>
  <c r="G282"/>
  <c r="G275" s="1"/>
  <c r="I281"/>
  <c r="I279"/>
  <c r="I278"/>
  <c r="I277"/>
  <c r="I276"/>
  <c r="L275"/>
  <c r="L274" s="1"/>
  <c r="Q272"/>
  <c r="G272"/>
  <c r="L271"/>
  <c r="I271"/>
  <c r="H271"/>
  <c r="G270"/>
  <c r="G269" s="1"/>
  <c r="L269"/>
  <c r="I269"/>
  <c r="H269"/>
  <c r="Q265"/>
  <c r="L263"/>
  <c r="I263"/>
  <c r="H263"/>
  <c r="K263"/>
  <c r="M262"/>
  <c r="G262"/>
  <c r="G261"/>
  <c r="G259"/>
  <c r="Q258"/>
  <c r="G258"/>
  <c r="T258" s="1"/>
  <c r="Q257"/>
  <c r="G257"/>
  <c r="T256"/>
  <c r="Q256"/>
  <c r="G256"/>
  <c r="G255"/>
  <c r="G254"/>
  <c r="Q253"/>
  <c r="G253"/>
  <c r="G252"/>
  <c r="G250"/>
  <c r="G249"/>
  <c r="G248"/>
  <c r="G246"/>
  <c r="G245"/>
  <c r="L244"/>
  <c r="L243" s="1"/>
  <c r="I244"/>
  <c r="I243" s="1"/>
  <c r="H244"/>
  <c r="H243" s="1"/>
  <c r="K242"/>
  <c r="M242" s="1"/>
  <c r="L241"/>
  <c r="L240" s="1"/>
  <c r="K241"/>
  <c r="I241"/>
  <c r="I240" s="1"/>
  <c r="H241"/>
  <c r="G241"/>
  <c r="K240"/>
  <c r="K239"/>
  <c r="L237"/>
  <c r="L236" s="1"/>
  <c r="I237"/>
  <c r="I236" s="1"/>
  <c r="H237"/>
  <c r="G237"/>
  <c r="G236" s="1"/>
  <c r="Q233"/>
  <c r="G233"/>
  <c r="T232"/>
  <c r="Q232"/>
  <c r="T231"/>
  <c r="Q231"/>
  <c r="Q227"/>
  <c r="G227"/>
  <c r="T226"/>
  <c r="Q226"/>
  <c r="G218"/>
  <c r="L217"/>
  <c r="L216" s="1"/>
  <c r="I217"/>
  <c r="I216" s="1"/>
  <c r="H217"/>
  <c r="H216" s="1"/>
  <c r="Q214"/>
  <c r="G214"/>
  <c r="L212"/>
  <c r="L211" s="1"/>
  <c r="I212"/>
  <c r="I211" s="1"/>
  <c r="H212"/>
  <c r="N210"/>
  <c r="M210"/>
  <c r="J210" s="1"/>
  <c r="G209"/>
  <c r="Q207"/>
  <c r="Q206"/>
  <c r="T205"/>
  <c r="Q205"/>
  <c r="Q203"/>
  <c r="G203"/>
  <c r="T202"/>
  <c r="Q202"/>
  <c r="Q201"/>
  <c r="G201"/>
  <c r="Q200"/>
  <c r="G200"/>
  <c r="G199"/>
  <c r="G198"/>
  <c r="M197"/>
  <c r="G197"/>
  <c r="G196"/>
  <c r="G195"/>
  <c r="G194"/>
  <c r="G193"/>
  <c r="L191"/>
  <c r="L190" s="1"/>
  <c r="I191"/>
  <c r="I190" s="1"/>
  <c r="H191"/>
  <c r="K190"/>
  <c r="M188"/>
  <c r="J188" s="1"/>
  <c r="K188"/>
  <c r="K187"/>
  <c r="M187" s="1"/>
  <c r="N187" s="1"/>
  <c r="K186"/>
  <c r="M186" s="1"/>
  <c r="L185"/>
  <c r="L184" s="1"/>
  <c r="K185"/>
  <c r="I185"/>
  <c r="I184" s="1"/>
  <c r="H185"/>
  <c r="G184"/>
  <c r="K184"/>
  <c r="M183"/>
  <c r="G183"/>
  <c r="T180"/>
  <c r="Q180"/>
  <c r="L164"/>
  <c r="L163" s="1"/>
  <c r="G180"/>
  <c r="Q179"/>
  <c r="G179"/>
  <c r="T178"/>
  <c r="Q178"/>
  <c r="T176"/>
  <c r="Q176"/>
  <c r="T175"/>
  <c r="Q175"/>
  <c r="T174"/>
  <c r="Q174"/>
  <c r="T173"/>
  <c r="Q173"/>
  <c r="G172"/>
  <c r="G170"/>
  <c r="G169"/>
  <c r="G166"/>
  <c r="G165"/>
  <c r="I164"/>
  <c r="I163" s="1"/>
  <c r="H164"/>
  <c r="H163" s="1"/>
  <c r="K163"/>
  <c r="Q161"/>
  <c r="K161"/>
  <c r="M161" s="1"/>
  <c r="L160"/>
  <c r="L159" s="1"/>
  <c r="K160"/>
  <c r="J160"/>
  <c r="J159" s="1"/>
  <c r="I160"/>
  <c r="I159" s="1"/>
  <c r="H160"/>
  <c r="G160"/>
  <c r="K159"/>
  <c r="Q158"/>
  <c r="G158"/>
  <c r="Q156"/>
  <c r="T155"/>
  <c r="Q155"/>
  <c r="G155"/>
  <c r="T154"/>
  <c r="Q154"/>
  <c r="G153"/>
  <c r="T151"/>
  <c r="Q151"/>
  <c r="Q150"/>
  <c r="G150"/>
  <c r="T150" s="1"/>
  <c r="G149"/>
  <c r="G147"/>
  <c r="G146"/>
  <c r="G145"/>
  <c r="G143"/>
  <c r="G142"/>
  <c r="L141"/>
  <c r="L140" s="1"/>
  <c r="K141"/>
  <c r="I141"/>
  <c r="I140" s="1"/>
  <c r="H141"/>
  <c r="H140" s="1"/>
  <c r="K140"/>
  <c r="K139"/>
  <c r="G138"/>
  <c r="Q135"/>
  <c r="G135"/>
  <c r="Q134"/>
  <c r="G134"/>
  <c r="T134" s="1"/>
  <c r="T133"/>
  <c r="Q133"/>
  <c r="G132"/>
  <c r="G131"/>
  <c r="T130"/>
  <c r="Q130"/>
  <c r="T129"/>
  <c r="Q129"/>
  <c r="G129"/>
  <c r="L120"/>
  <c r="L119" s="1"/>
  <c r="L118" s="1"/>
  <c r="I120"/>
  <c r="I119" s="1"/>
  <c r="I118" s="1"/>
  <c r="H120"/>
  <c r="H119" s="1"/>
  <c r="H118" s="1"/>
  <c r="K119"/>
  <c r="K118"/>
  <c r="T117"/>
  <c r="Q117"/>
  <c r="L116"/>
  <c r="L115" s="1"/>
  <c r="K116"/>
  <c r="J116"/>
  <c r="I116"/>
  <c r="I115" s="1"/>
  <c r="H116"/>
  <c r="H115" s="1"/>
  <c r="G116"/>
  <c r="G115" s="1"/>
  <c r="K115"/>
  <c r="K114"/>
  <c r="M114" s="1"/>
  <c r="T113"/>
  <c r="Q113"/>
  <c r="K113"/>
  <c r="M113" s="1"/>
  <c r="L112"/>
  <c r="L111" s="1"/>
  <c r="I112"/>
  <c r="I111" s="1"/>
  <c r="H112"/>
  <c r="G112"/>
  <c r="K111"/>
  <c r="H111"/>
  <c r="S110"/>
  <c r="Q110"/>
  <c r="P110"/>
  <c r="O110"/>
  <c r="N110"/>
  <c r="M110"/>
  <c r="S109"/>
  <c r="Q109"/>
  <c r="M109"/>
  <c r="N109" s="1"/>
  <c r="Q108"/>
  <c r="M108"/>
  <c r="S107"/>
  <c r="Q107"/>
  <c r="M107"/>
  <c r="O107" s="1"/>
  <c r="Q106"/>
  <c r="M106"/>
  <c r="N106" s="1"/>
  <c r="Q105"/>
  <c r="P105"/>
  <c r="O105"/>
  <c r="M105"/>
  <c r="N105" s="1"/>
  <c r="Q104"/>
  <c r="O104"/>
  <c r="N104"/>
  <c r="M104"/>
  <c r="S104" s="1"/>
  <c r="S103"/>
  <c r="Q103"/>
  <c r="N103"/>
  <c r="M103"/>
  <c r="O103" s="1"/>
  <c r="O102" s="1"/>
  <c r="L102"/>
  <c r="K102"/>
  <c r="J102"/>
  <c r="I102"/>
  <c r="H102"/>
  <c r="G102"/>
  <c r="I101"/>
  <c r="H100"/>
  <c r="I100" s="1"/>
  <c r="I99"/>
  <c r="H98"/>
  <c r="I97"/>
  <c r="I96"/>
  <c r="I95"/>
  <c r="H95"/>
  <c r="H94"/>
  <c r="I94" s="1"/>
  <c r="L93"/>
  <c r="G93"/>
  <c r="H92"/>
  <c r="I91"/>
  <c r="I89"/>
  <c r="H87"/>
  <c r="I87" s="1"/>
  <c r="H86"/>
  <c r="H84" s="1"/>
  <c r="L84"/>
  <c r="G84"/>
  <c r="K83"/>
  <c r="M83" s="1"/>
  <c r="I82"/>
  <c r="M81"/>
  <c r="S81" s="1"/>
  <c r="K81"/>
  <c r="O80"/>
  <c r="K80"/>
  <c r="M80" s="1"/>
  <c r="K79"/>
  <c r="M79" s="1"/>
  <c r="K78"/>
  <c r="M78" s="1"/>
  <c r="J78" s="1"/>
  <c r="K77"/>
  <c r="M77" s="1"/>
  <c r="K76"/>
  <c r="M76" s="1"/>
  <c r="S76" s="1"/>
  <c r="L75"/>
  <c r="H75"/>
  <c r="G75"/>
  <c r="I74"/>
  <c r="I73"/>
  <c r="I72"/>
  <c r="I71"/>
  <c r="I70"/>
  <c r="I69"/>
  <c r="I67"/>
  <c r="L66"/>
  <c r="G66"/>
  <c r="I65"/>
  <c r="H55"/>
  <c r="I63"/>
  <c r="H57"/>
  <c r="I61"/>
  <c r="I59"/>
  <c r="L57"/>
  <c r="G57"/>
  <c r="L55"/>
  <c r="G55"/>
  <c r="L54"/>
  <c r="G54"/>
  <c r="L53"/>
  <c r="G53"/>
  <c r="L52"/>
  <c r="G52"/>
  <c r="L51"/>
  <c r="G51"/>
  <c r="L50"/>
  <c r="G50"/>
  <c r="L49"/>
  <c r="G49"/>
  <c r="L48"/>
  <c r="G48"/>
  <c r="K47"/>
  <c r="K46"/>
  <c r="K45"/>
  <c r="L43"/>
  <c r="L42" s="1"/>
  <c r="I43"/>
  <c r="I42" s="1"/>
  <c r="H43"/>
  <c r="H42" s="1"/>
  <c r="G43"/>
  <c r="G42" s="1"/>
  <c r="K41"/>
  <c r="M41" s="1"/>
  <c r="K40"/>
  <c r="I40"/>
  <c r="I39" s="1"/>
  <c r="H40"/>
  <c r="H39" s="1"/>
  <c r="G40"/>
  <c r="G39" s="1"/>
  <c r="L39"/>
  <c r="K39"/>
  <c r="K38"/>
  <c r="M38" s="1"/>
  <c r="K37"/>
  <c r="M37" s="1"/>
  <c r="T36"/>
  <c r="Q36"/>
  <c r="K36"/>
  <c r="M36" s="1"/>
  <c r="O36" s="1"/>
  <c r="L35"/>
  <c r="K35"/>
  <c r="I35"/>
  <c r="H35"/>
  <c r="G35"/>
  <c r="Q31"/>
  <c r="G31"/>
  <c r="T30"/>
  <c r="Q30"/>
  <c r="Q29"/>
  <c r="G29"/>
  <c r="G28"/>
  <c r="T26"/>
  <c r="Q26"/>
  <c r="M24"/>
  <c r="S24" s="1"/>
  <c r="Q22"/>
  <c r="G22"/>
  <c r="G20"/>
  <c r="G18"/>
  <c r="G16"/>
  <c r="G15"/>
  <c r="L14"/>
  <c r="L13" s="1"/>
  <c r="I13"/>
  <c r="H14"/>
  <c r="K13"/>
  <c r="K12"/>
  <c r="M12" s="1"/>
  <c r="G12"/>
  <c r="T11"/>
  <c r="Q11"/>
  <c r="K11"/>
  <c r="M11" s="1"/>
  <c r="L10"/>
  <c r="K10"/>
  <c r="I10"/>
  <c r="H10"/>
  <c r="L8"/>
  <c r="K8"/>
  <c r="I8"/>
  <c r="H8"/>
  <c r="G8"/>
  <c r="K7"/>
  <c r="K6"/>
  <c r="J269" i="90"/>
  <c r="J9"/>
  <c r="L311"/>
  <c r="L308"/>
  <c r="L305"/>
  <c r="L304"/>
  <c r="L303"/>
  <c r="L301"/>
  <c r="L180"/>
  <c r="J153"/>
  <c r="J131"/>
  <c r="T330" i="93" l="1"/>
  <c r="Q330"/>
  <c r="P330"/>
  <c r="J329"/>
  <c r="Q329" s="1"/>
  <c r="P57"/>
  <c r="M275"/>
  <c r="O275" s="1"/>
  <c r="P42"/>
  <c r="P304"/>
  <c r="T304"/>
  <c r="P279"/>
  <c r="T279"/>
  <c r="P252"/>
  <c r="J251"/>
  <c r="T252"/>
  <c r="H275"/>
  <c r="O304"/>
  <c r="S304"/>
  <c r="P276"/>
  <c r="P48"/>
  <c r="J47"/>
  <c r="P14"/>
  <c r="J13"/>
  <c r="T14"/>
  <c r="P310"/>
  <c r="T310"/>
  <c r="P93"/>
  <c r="S225"/>
  <c r="O252"/>
  <c r="M251"/>
  <c r="S252"/>
  <c r="P147"/>
  <c r="T147"/>
  <c r="P247"/>
  <c r="P176"/>
  <c r="J175"/>
  <c r="T175" s="1"/>
  <c r="P156"/>
  <c r="J155"/>
  <c r="T156"/>
  <c r="P299"/>
  <c r="H45"/>
  <c r="P39"/>
  <c r="T39"/>
  <c r="O199"/>
  <c r="M198"/>
  <c r="O198" s="1"/>
  <c r="P51"/>
  <c r="P75"/>
  <c r="O13"/>
  <c r="O47"/>
  <c r="M46"/>
  <c r="S47"/>
  <c r="P272"/>
  <c r="S329"/>
  <c r="J199"/>
  <c r="P200"/>
  <c r="T200"/>
  <c r="J324"/>
  <c r="T325"/>
  <c r="O155"/>
  <c r="M154"/>
  <c r="O154" s="1"/>
  <c r="G6"/>
  <c r="S175"/>
  <c r="J225"/>
  <c r="S41" i="92"/>
  <c r="O41"/>
  <c r="N41"/>
  <c r="N40" s="1"/>
  <c r="N39" s="1"/>
  <c r="P103"/>
  <c r="P109"/>
  <c r="S28"/>
  <c r="S321"/>
  <c r="J321"/>
  <c r="Q321" s="1"/>
  <c r="N21"/>
  <c r="J21"/>
  <c r="S169"/>
  <c r="J169"/>
  <c r="N107"/>
  <c r="M290"/>
  <c r="K289"/>
  <c r="G47"/>
  <c r="G46" s="1"/>
  <c r="G120"/>
  <c r="G274"/>
  <c r="O26"/>
  <c r="N26"/>
  <c r="J12"/>
  <c r="Q12" s="1"/>
  <c r="N12"/>
  <c r="J229"/>
  <c r="T229" s="1"/>
  <c r="S229"/>
  <c r="S205"/>
  <c r="S36"/>
  <c r="O24"/>
  <c r="P36"/>
  <c r="S226"/>
  <c r="P226"/>
  <c r="J132"/>
  <c r="T132" s="1"/>
  <c r="O132"/>
  <c r="P176"/>
  <c r="O176"/>
  <c r="J310"/>
  <c r="T310" s="1"/>
  <c r="O310"/>
  <c r="J298"/>
  <c r="Q298" s="1"/>
  <c r="O298"/>
  <c r="N254"/>
  <c r="J254"/>
  <c r="P254" s="1"/>
  <c r="S327"/>
  <c r="O299"/>
  <c r="M264"/>
  <c r="K264"/>
  <c r="N131"/>
  <c r="N299"/>
  <c r="J283"/>
  <c r="N283"/>
  <c r="N29"/>
  <c r="O29"/>
  <c r="S30"/>
  <c r="N30"/>
  <c r="J62"/>
  <c r="P62" s="1"/>
  <c r="S62"/>
  <c r="J114"/>
  <c r="Q114" s="1"/>
  <c r="N114"/>
  <c r="N150"/>
  <c r="S150"/>
  <c r="Q172"/>
  <c r="O172"/>
  <c r="S172"/>
  <c r="J280"/>
  <c r="P280" s="1"/>
  <c r="S280"/>
  <c r="O317"/>
  <c r="P317"/>
  <c r="N317"/>
  <c r="Q152"/>
  <c r="T152"/>
  <c r="J92"/>
  <c r="P92" s="1"/>
  <c r="S92"/>
  <c r="N203"/>
  <c r="O203"/>
  <c r="J138"/>
  <c r="Q138" s="1"/>
  <c r="S138"/>
  <c r="J300"/>
  <c r="T300" s="1"/>
  <c r="S300"/>
  <c r="N144"/>
  <c r="O125"/>
  <c r="N132"/>
  <c r="S188"/>
  <c r="J291"/>
  <c r="P291" s="1"/>
  <c r="O291"/>
  <c r="S291"/>
  <c r="J279"/>
  <c r="P279" s="1"/>
  <c r="N279"/>
  <c r="S279"/>
  <c r="J284"/>
  <c r="P284" s="1"/>
  <c r="N284"/>
  <c r="O284"/>
  <c r="S284"/>
  <c r="S283"/>
  <c r="L268"/>
  <c r="L239" s="1"/>
  <c r="K269"/>
  <c r="J267"/>
  <c r="O267"/>
  <c r="J246"/>
  <c r="P246" s="1"/>
  <c r="N246"/>
  <c r="J250"/>
  <c r="P250" s="1"/>
  <c r="N250"/>
  <c r="O250"/>
  <c r="S250"/>
  <c r="J251"/>
  <c r="Q251" s="1"/>
  <c r="S251"/>
  <c r="N257"/>
  <c r="P257"/>
  <c r="P256"/>
  <c r="N256"/>
  <c r="O246"/>
  <c r="J220"/>
  <c r="Q220" s="1"/>
  <c r="N220"/>
  <c r="J235"/>
  <c r="N235"/>
  <c r="S235"/>
  <c r="J218"/>
  <c r="Q218" s="1"/>
  <c r="S218"/>
  <c r="O223"/>
  <c r="P214"/>
  <c r="O214"/>
  <c r="N213"/>
  <c r="S213"/>
  <c r="O199"/>
  <c r="N199"/>
  <c r="P203"/>
  <c r="O210"/>
  <c r="S192"/>
  <c r="N182"/>
  <c r="S182"/>
  <c r="S167"/>
  <c r="N167"/>
  <c r="O167"/>
  <c r="N179"/>
  <c r="O179"/>
  <c r="P179"/>
  <c r="O166"/>
  <c r="J145"/>
  <c r="Q145" s="1"/>
  <c r="N145"/>
  <c r="O145"/>
  <c r="P155"/>
  <c r="N155"/>
  <c r="O155"/>
  <c r="S155"/>
  <c r="N147"/>
  <c r="S144"/>
  <c r="S154"/>
  <c r="O147"/>
  <c r="O126"/>
  <c r="N126"/>
  <c r="J122"/>
  <c r="Q122" s="1"/>
  <c r="O122"/>
  <c r="S134"/>
  <c r="N134"/>
  <c r="O131"/>
  <c r="S130"/>
  <c r="N130"/>
  <c r="P97"/>
  <c r="Q97"/>
  <c r="J98"/>
  <c r="P98" s="1"/>
  <c r="S98"/>
  <c r="J99"/>
  <c r="Q99" s="1"/>
  <c r="N99"/>
  <c r="J86"/>
  <c r="P86" s="1"/>
  <c r="S86"/>
  <c r="J88"/>
  <c r="P88" s="1"/>
  <c r="S88"/>
  <c r="J91"/>
  <c r="P91" s="1"/>
  <c r="S91"/>
  <c r="J89"/>
  <c r="P89" s="1"/>
  <c r="N89"/>
  <c r="S64"/>
  <c r="S44"/>
  <c r="N44"/>
  <c r="N43" s="1"/>
  <c r="N42" s="1"/>
  <c r="J16"/>
  <c r="T16" s="1"/>
  <c r="S16"/>
  <c r="O17"/>
  <c r="N17"/>
  <c r="S17"/>
  <c r="N28"/>
  <c r="S15"/>
  <c r="N15"/>
  <c r="S26"/>
  <c r="P321"/>
  <c r="O321"/>
  <c r="N321"/>
  <c r="O312"/>
  <c r="N312"/>
  <c r="P312"/>
  <c r="S317"/>
  <c r="O303"/>
  <c r="N303"/>
  <c r="J38"/>
  <c r="P38" s="1"/>
  <c r="O38"/>
  <c r="S38"/>
  <c r="J90"/>
  <c r="P90" s="1"/>
  <c r="S90"/>
  <c r="O33"/>
  <c r="N33"/>
  <c r="J228"/>
  <c r="T228" s="1"/>
  <c r="N228"/>
  <c r="S228"/>
  <c r="O228"/>
  <c r="N258"/>
  <c r="S258"/>
  <c r="P258"/>
  <c r="J195"/>
  <c r="Q195" s="1"/>
  <c r="N195"/>
  <c r="O195"/>
  <c r="P206"/>
  <c r="N206"/>
  <c r="O206"/>
  <c r="N171"/>
  <c r="S171"/>
  <c r="N313"/>
  <c r="P313"/>
  <c r="O28"/>
  <c r="S132"/>
  <c r="N156"/>
  <c r="N175"/>
  <c r="N194"/>
  <c r="O220"/>
  <c r="O227"/>
  <c r="Q281"/>
  <c r="S194"/>
  <c r="J28"/>
  <c r="T28" s="1"/>
  <c r="J144"/>
  <c r="T144" s="1"/>
  <c r="M48"/>
  <c r="S48" s="1"/>
  <c r="N91"/>
  <c r="O16"/>
  <c r="N24"/>
  <c r="N97"/>
  <c r="O188"/>
  <c r="O254"/>
  <c r="S31"/>
  <c r="S214"/>
  <c r="P233"/>
  <c r="S227"/>
  <c r="J199"/>
  <c r="Q199" s="1"/>
  <c r="O82"/>
  <c r="S261"/>
  <c r="J299"/>
  <c r="T299" s="1"/>
  <c r="K288"/>
  <c r="J17"/>
  <c r="T17" s="1"/>
  <c r="O156"/>
  <c r="P175"/>
  <c r="S220"/>
  <c r="O233"/>
  <c r="N281"/>
  <c r="J306"/>
  <c r="P306" s="1"/>
  <c r="O306"/>
  <c r="O23"/>
  <c r="J23"/>
  <c r="N23"/>
  <c r="P168"/>
  <c r="S168"/>
  <c r="O136"/>
  <c r="J136"/>
  <c r="N136"/>
  <c r="P178"/>
  <c r="N178"/>
  <c r="O178"/>
  <c r="S178"/>
  <c r="J304"/>
  <c r="P304" s="1"/>
  <c r="O304"/>
  <c r="J34"/>
  <c r="P34" s="1"/>
  <c r="S34"/>
  <c r="J276"/>
  <c r="Q276" s="1"/>
  <c r="S276"/>
  <c r="S11"/>
  <c r="O11"/>
  <c r="P11"/>
  <c r="N11"/>
  <c r="O320"/>
  <c r="N320"/>
  <c r="N87"/>
  <c r="N152"/>
  <c r="S152"/>
  <c r="P152"/>
  <c r="Q210"/>
  <c r="P210"/>
  <c r="J60"/>
  <c r="P60" s="1"/>
  <c r="S60"/>
  <c r="J87"/>
  <c r="P87" s="1"/>
  <c r="S87"/>
  <c r="J197"/>
  <c r="T197" s="1"/>
  <c r="N197"/>
  <c r="O197"/>
  <c r="L139"/>
  <c r="L162"/>
  <c r="O248"/>
  <c r="N248"/>
  <c r="S248"/>
  <c r="L189"/>
  <c r="S21"/>
  <c r="K54"/>
  <c r="K53"/>
  <c r="S99"/>
  <c r="M180"/>
  <c r="P180" s="1"/>
  <c r="S193"/>
  <c r="K212"/>
  <c r="K211" s="1"/>
  <c r="K189" s="1"/>
  <c r="O229"/>
  <c r="O251"/>
  <c r="O313"/>
  <c r="S25"/>
  <c r="K55"/>
  <c r="N72"/>
  <c r="S89"/>
  <c r="S94"/>
  <c r="O99"/>
  <c r="P104"/>
  <c r="S114"/>
  <c r="I139"/>
  <c r="P167"/>
  <c r="O193"/>
  <c r="N229"/>
  <c r="N251"/>
  <c r="S256"/>
  <c r="J194"/>
  <c r="T194" s="1"/>
  <c r="S252"/>
  <c r="M84"/>
  <c r="S84" s="1"/>
  <c r="G14"/>
  <c r="G13" s="1"/>
  <c r="S233"/>
  <c r="L7"/>
  <c r="N70"/>
  <c r="S145"/>
  <c r="K57"/>
  <c r="N63"/>
  <c r="H93"/>
  <c r="S200"/>
  <c r="O205"/>
  <c r="S210"/>
  <c r="O257"/>
  <c r="H7"/>
  <c r="O12"/>
  <c r="K49"/>
  <c r="J58"/>
  <c r="P58" s="1"/>
  <c r="S82"/>
  <c r="S97"/>
  <c r="S122"/>
  <c r="O130"/>
  <c r="O154"/>
  <c r="I189"/>
  <c r="S195"/>
  <c r="N205"/>
  <c r="S246"/>
  <c r="I293"/>
  <c r="S312"/>
  <c r="K50"/>
  <c r="G212"/>
  <c r="G211" s="1"/>
  <c r="I162"/>
  <c r="J137"/>
  <c r="Q137" s="1"/>
  <c r="S198"/>
  <c r="M308"/>
  <c r="S308" s="1"/>
  <c r="S196"/>
  <c r="K51"/>
  <c r="I75"/>
  <c r="I7"/>
  <c r="J24"/>
  <c r="P24" s="1"/>
  <c r="J41"/>
  <c r="P41" s="1"/>
  <c r="T227"/>
  <c r="P106"/>
  <c r="O137"/>
  <c r="K162"/>
  <c r="O249"/>
  <c r="K244"/>
  <c r="K243" s="1"/>
  <c r="N100"/>
  <c r="K84"/>
  <c r="K112"/>
  <c r="G164"/>
  <c r="S281"/>
  <c r="K66"/>
  <c r="N74"/>
  <c r="Q102"/>
  <c r="N137"/>
  <c r="N249"/>
  <c r="N261"/>
  <c r="S267"/>
  <c r="O22"/>
  <c r="P22"/>
  <c r="N22"/>
  <c r="P181"/>
  <c r="Q181"/>
  <c r="T181"/>
  <c r="Q297"/>
  <c r="P297"/>
  <c r="T297"/>
  <c r="O309"/>
  <c r="S309"/>
  <c r="J309"/>
  <c r="N309"/>
  <c r="P78"/>
  <c r="Q78"/>
  <c r="O8"/>
  <c r="O135"/>
  <c r="P135"/>
  <c r="N135"/>
  <c r="O183"/>
  <c r="S183"/>
  <c r="J183"/>
  <c r="N183"/>
  <c r="O79"/>
  <c r="S79"/>
  <c r="J79"/>
  <c r="N79"/>
  <c r="P222"/>
  <c r="Q222"/>
  <c r="T222"/>
  <c r="P208"/>
  <c r="Q208"/>
  <c r="J73"/>
  <c r="N73"/>
  <c r="O73"/>
  <c r="S73"/>
  <c r="J278"/>
  <c r="N278"/>
  <c r="O278"/>
  <c r="S278"/>
  <c r="J273"/>
  <c r="N273"/>
  <c r="O273"/>
  <c r="S12"/>
  <c r="G10"/>
  <c r="N61"/>
  <c r="M50"/>
  <c r="G119"/>
  <c r="O165"/>
  <c r="S165"/>
  <c r="J165"/>
  <c r="T165" s="1"/>
  <c r="J282"/>
  <c r="N282"/>
  <c r="O282"/>
  <c r="O21"/>
  <c r="S153"/>
  <c r="S224"/>
  <c r="J224"/>
  <c r="J61"/>
  <c r="Q61" s="1"/>
  <c r="O61"/>
  <c r="S61"/>
  <c r="S156"/>
  <c r="T156"/>
  <c r="M241"/>
  <c r="J242"/>
  <c r="N242"/>
  <c r="N241" s="1"/>
  <c r="N240" s="1"/>
  <c r="O242"/>
  <c r="S242"/>
  <c r="J77"/>
  <c r="N77"/>
  <c r="O77"/>
  <c r="S77"/>
  <c r="N286"/>
  <c r="O286"/>
  <c r="S286"/>
  <c r="O311"/>
  <c r="P311"/>
  <c r="S311"/>
  <c r="N207"/>
  <c r="O207"/>
  <c r="P207"/>
  <c r="M75"/>
  <c r="S75" s="1"/>
  <c r="J76"/>
  <c r="N76"/>
  <c r="O76"/>
  <c r="O75" s="1"/>
  <c r="H190"/>
  <c r="G240"/>
  <c r="K275"/>
  <c r="K274" s="1"/>
  <c r="M277"/>
  <c r="J285"/>
  <c r="N285"/>
  <c r="O285"/>
  <c r="M325"/>
  <c r="K324"/>
  <c r="K323" s="1"/>
  <c r="J19"/>
  <c r="N19"/>
  <c r="O19"/>
  <c r="S19"/>
  <c r="I60"/>
  <c r="J68"/>
  <c r="J72"/>
  <c r="O72"/>
  <c r="I86"/>
  <c r="I84" s="1"/>
  <c r="P132"/>
  <c r="Q132"/>
  <c r="J143"/>
  <c r="N143"/>
  <c r="O143"/>
  <c r="S143"/>
  <c r="J198"/>
  <c r="N198"/>
  <c r="O198"/>
  <c r="P230"/>
  <c r="T230"/>
  <c r="G324"/>
  <c r="G141"/>
  <c r="M102"/>
  <c r="G111"/>
  <c r="S207"/>
  <c r="L215"/>
  <c r="Q261"/>
  <c r="S314"/>
  <c r="M14"/>
  <c r="K75"/>
  <c r="G191"/>
  <c r="S203"/>
  <c r="S285"/>
  <c r="O232"/>
  <c r="N232"/>
  <c r="P232"/>
  <c r="S232"/>
  <c r="S315"/>
  <c r="J315"/>
  <c r="N315"/>
  <c r="N20"/>
  <c r="P20"/>
  <c r="O20"/>
  <c r="S22"/>
  <c r="S33"/>
  <c r="J33"/>
  <c r="J148"/>
  <c r="N148"/>
  <c r="O148"/>
  <c r="S148"/>
  <c r="J204"/>
  <c r="N204"/>
  <c r="O204"/>
  <c r="S204"/>
  <c r="N94"/>
  <c r="S128"/>
  <c r="J128"/>
  <c r="N128"/>
  <c r="N253"/>
  <c r="O253"/>
  <c r="P253"/>
  <c r="O31"/>
  <c r="P31"/>
  <c r="N59"/>
  <c r="H54"/>
  <c r="I64"/>
  <c r="Q64"/>
  <c r="J101"/>
  <c r="O101"/>
  <c r="S101"/>
  <c r="J112"/>
  <c r="Q112" s="1"/>
  <c r="S147"/>
  <c r="T147"/>
  <c r="N158"/>
  <c r="O158"/>
  <c r="P158"/>
  <c r="S257"/>
  <c r="T257"/>
  <c r="N318"/>
  <c r="P318"/>
  <c r="O318"/>
  <c r="S318"/>
  <c r="M191"/>
  <c r="L47"/>
  <c r="L46" s="1"/>
  <c r="L45" s="1"/>
  <c r="K14"/>
  <c r="O151"/>
  <c r="S245"/>
  <c r="O305"/>
  <c r="J9"/>
  <c r="N9"/>
  <c r="N8" s="1"/>
  <c r="S9"/>
  <c r="N108"/>
  <c r="N102" s="1"/>
  <c r="O108"/>
  <c r="P108"/>
  <c r="S108"/>
  <c r="Q25"/>
  <c r="T25"/>
  <c r="N327"/>
  <c r="O327"/>
  <c r="Q94"/>
  <c r="Q160"/>
  <c r="H159"/>
  <c r="Q159" s="1"/>
  <c r="N181"/>
  <c r="O181"/>
  <c r="S181"/>
  <c r="M212"/>
  <c r="J213"/>
  <c r="O213"/>
  <c r="S307"/>
  <c r="S20"/>
  <c r="T20"/>
  <c r="S199"/>
  <c r="N222"/>
  <c r="O222"/>
  <c r="S222"/>
  <c r="M272"/>
  <c r="S272" s="1"/>
  <c r="K271"/>
  <c r="O314"/>
  <c r="N314"/>
  <c r="P314"/>
  <c r="H240"/>
  <c r="J59"/>
  <c r="O59"/>
  <c r="S59"/>
  <c r="Q147"/>
  <c r="P147"/>
  <c r="N245"/>
  <c r="O245"/>
  <c r="M244"/>
  <c r="J18"/>
  <c r="N18"/>
  <c r="O18"/>
  <c r="H66"/>
  <c r="I68"/>
  <c r="H49"/>
  <c r="J63"/>
  <c r="Q63" s="1"/>
  <c r="O63"/>
  <c r="S63"/>
  <c r="J81"/>
  <c r="N81"/>
  <c r="O81"/>
  <c r="O127"/>
  <c r="J127"/>
  <c r="N127"/>
  <c r="S127"/>
  <c r="S176"/>
  <c r="N176"/>
  <c r="H184"/>
  <c r="H162" s="1"/>
  <c r="O202"/>
  <c r="N202"/>
  <c r="P202"/>
  <c r="S202"/>
  <c r="S253"/>
  <c r="T253"/>
  <c r="J301"/>
  <c r="N301"/>
  <c r="O301"/>
  <c r="M51"/>
  <c r="S18"/>
  <c r="N85"/>
  <c r="N101"/>
  <c r="I215"/>
  <c r="N305"/>
  <c r="S282"/>
  <c r="J67"/>
  <c r="N67"/>
  <c r="O67"/>
  <c r="S67"/>
  <c r="J71"/>
  <c r="N71"/>
  <c r="O71"/>
  <c r="S71"/>
  <c r="J100"/>
  <c r="P100" s="1"/>
  <c r="O100"/>
  <c r="S100"/>
  <c r="M120"/>
  <c r="S120" s="1"/>
  <c r="J121"/>
  <c r="N121"/>
  <c r="O121"/>
  <c r="P131"/>
  <c r="Q131"/>
  <c r="P151"/>
  <c r="S151"/>
  <c r="S158"/>
  <c r="T158"/>
  <c r="P249"/>
  <c r="Q249"/>
  <c r="J260"/>
  <c r="N260"/>
  <c r="O260"/>
  <c r="S260"/>
  <c r="J290"/>
  <c r="N290"/>
  <c r="O290"/>
  <c r="P305"/>
  <c r="Q305"/>
  <c r="J32"/>
  <c r="N32"/>
  <c r="S32"/>
  <c r="M141"/>
  <c r="J142"/>
  <c r="T142" s="1"/>
  <c r="N142"/>
  <c r="O142"/>
  <c r="J146"/>
  <c r="N146"/>
  <c r="O146"/>
  <c r="N201"/>
  <c r="O201"/>
  <c r="P201"/>
  <c r="J234"/>
  <c r="N234"/>
  <c r="O234"/>
  <c r="S234"/>
  <c r="P252"/>
  <c r="T252"/>
  <c r="O270"/>
  <c r="S270"/>
  <c r="M269"/>
  <c r="J270"/>
  <c r="T270" s="1"/>
  <c r="N276"/>
  <c r="S135"/>
  <c r="N149"/>
  <c r="O149"/>
  <c r="N124"/>
  <c r="O124"/>
  <c r="S124"/>
  <c r="J153"/>
  <c r="T153" s="1"/>
  <c r="N153"/>
  <c r="N174"/>
  <c r="O174"/>
  <c r="P174"/>
  <c r="S174"/>
  <c r="N208"/>
  <c r="O208"/>
  <c r="J83"/>
  <c r="N83"/>
  <c r="O83"/>
  <c r="S83"/>
  <c r="J303"/>
  <c r="T303" s="1"/>
  <c r="J123"/>
  <c r="N123"/>
  <c r="O123"/>
  <c r="S123"/>
  <c r="G159"/>
  <c r="T160"/>
  <c r="N173"/>
  <c r="O173"/>
  <c r="S173"/>
  <c r="N297"/>
  <c r="O297"/>
  <c r="S297"/>
  <c r="I90"/>
  <c r="J27"/>
  <c r="N27"/>
  <c r="O27"/>
  <c r="S27"/>
  <c r="N117"/>
  <c r="N116" s="1"/>
  <c r="N115" s="1"/>
  <c r="P117"/>
  <c r="S117"/>
  <c r="S126"/>
  <c r="J126"/>
  <c r="T131"/>
  <c r="S131"/>
  <c r="T138"/>
  <c r="J157"/>
  <c r="N157"/>
  <c r="O157"/>
  <c r="S157"/>
  <c r="S206"/>
  <c r="T206"/>
  <c r="N226"/>
  <c r="O226"/>
  <c r="S249"/>
  <c r="T249"/>
  <c r="G244"/>
  <c r="Q300"/>
  <c r="T305"/>
  <c r="S305"/>
  <c r="S313"/>
  <c r="T313"/>
  <c r="J124"/>
  <c r="S146"/>
  <c r="S29"/>
  <c r="T29"/>
  <c r="J69"/>
  <c r="N69"/>
  <c r="O69"/>
  <c r="S69"/>
  <c r="P223"/>
  <c r="Q223"/>
  <c r="J262"/>
  <c r="T262" s="1"/>
  <c r="N262"/>
  <c r="O262"/>
  <c r="I98"/>
  <c r="I93" s="1"/>
  <c r="O231"/>
  <c r="P231"/>
  <c r="S231"/>
  <c r="N326"/>
  <c r="O326"/>
  <c r="P326"/>
  <c r="S326"/>
  <c r="J177"/>
  <c r="N177"/>
  <c r="O177"/>
  <c r="S177"/>
  <c r="P64"/>
  <c r="P229"/>
  <c r="I280"/>
  <c r="I275" s="1"/>
  <c r="K120"/>
  <c r="S201"/>
  <c r="J322"/>
  <c r="O322"/>
  <c r="N322"/>
  <c r="S322"/>
  <c r="N78"/>
  <c r="O78"/>
  <c r="S78"/>
  <c r="N37"/>
  <c r="O37"/>
  <c r="J247"/>
  <c r="N247"/>
  <c r="O247"/>
  <c r="S247"/>
  <c r="H51"/>
  <c r="S187"/>
  <c r="M185"/>
  <c r="J186"/>
  <c r="N186"/>
  <c r="S186"/>
  <c r="G271"/>
  <c r="T272"/>
  <c r="H13"/>
  <c r="N113"/>
  <c r="O113"/>
  <c r="P113"/>
  <c r="S113"/>
  <c r="M112"/>
  <c r="O225"/>
  <c r="J225"/>
  <c r="N225"/>
  <c r="S225"/>
  <c r="J259"/>
  <c r="N259"/>
  <c r="J149"/>
  <c r="T149" s="1"/>
  <c r="K164"/>
  <c r="K191"/>
  <c r="S236"/>
  <c r="M10"/>
  <c r="O10" s="1"/>
  <c r="S295"/>
  <c r="J182"/>
  <c r="O182"/>
  <c r="S320"/>
  <c r="J320"/>
  <c r="M43"/>
  <c r="S43" s="1"/>
  <c r="J44"/>
  <c r="O44"/>
  <c r="T169"/>
  <c r="N169"/>
  <c r="O169"/>
  <c r="S208"/>
  <c r="T208"/>
  <c r="G302"/>
  <c r="S303"/>
  <c r="P82"/>
  <c r="Q82"/>
  <c r="S262"/>
  <c r="J221"/>
  <c r="N221"/>
  <c r="O221"/>
  <c r="S221"/>
  <c r="H53"/>
  <c r="J96"/>
  <c r="N96"/>
  <c r="O96"/>
  <c r="S96"/>
  <c r="J80"/>
  <c r="N80"/>
  <c r="S80"/>
  <c r="I92"/>
  <c r="P193"/>
  <c r="Q193"/>
  <c r="S197"/>
  <c r="P166"/>
  <c r="Q166"/>
  <c r="O238"/>
  <c r="J238"/>
  <c r="N238"/>
  <c r="N237" s="1"/>
  <c r="N236" s="1"/>
  <c r="S238"/>
  <c r="O30"/>
  <c r="P30"/>
  <c r="I58"/>
  <c r="H48"/>
  <c r="I88"/>
  <c r="O134"/>
  <c r="P134"/>
  <c r="O150"/>
  <c r="P150"/>
  <c r="S179"/>
  <c r="T179"/>
  <c r="N200"/>
  <c r="O200"/>
  <c r="P200"/>
  <c r="H288"/>
  <c r="K43"/>
  <c r="K42" s="1"/>
  <c r="M35"/>
  <c r="O35" s="1"/>
  <c r="M54"/>
  <c r="H50"/>
  <c r="M52"/>
  <c r="M116"/>
  <c r="S116" s="1"/>
  <c r="N214"/>
  <c r="O224"/>
  <c r="O237"/>
  <c r="S259"/>
  <c r="L302"/>
  <c r="L294" s="1"/>
  <c r="L293" s="1"/>
  <c r="H52"/>
  <c r="I62"/>
  <c r="P188"/>
  <c r="Q188"/>
  <c r="O255"/>
  <c r="S255"/>
  <c r="J255"/>
  <c r="T255" s="1"/>
  <c r="N133"/>
  <c r="P133"/>
  <c r="O133"/>
  <c r="S133"/>
  <c r="S149"/>
  <c r="O307"/>
  <c r="J307"/>
  <c r="T307" s="1"/>
  <c r="N129"/>
  <c r="O129"/>
  <c r="P129"/>
  <c r="S129"/>
  <c r="J70"/>
  <c r="P70" s="1"/>
  <c r="O70"/>
  <c r="J74"/>
  <c r="P74" s="1"/>
  <c r="O74"/>
  <c r="K93"/>
  <c r="M95"/>
  <c r="P125"/>
  <c r="Q125"/>
  <c r="M160"/>
  <c r="S160" s="1"/>
  <c r="N161"/>
  <c r="N160" s="1"/>
  <c r="N159" s="1"/>
  <c r="P161"/>
  <c r="S161"/>
  <c r="N170"/>
  <c r="O170"/>
  <c r="S170"/>
  <c r="J196"/>
  <c r="N196"/>
  <c r="O196"/>
  <c r="J209"/>
  <c r="N209"/>
  <c r="O209"/>
  <c r="J219"/>
  <c r="N219"/>
  <c r="O219"/>
  <c r="G288"/>
  <c r="J316"/>
  <c r="N316"/>
  <c r="O316"/>
  <c r="S316"/>
  <c r="H293"/>
  <c r="O9"/>
  <c r="S37"/>
  <c r="M53"/>
  <c r="M66"/>
  <c r="N224"/>
  <c r="N255"/>
  <c r="P26"/>
  <c r="K48"/>
  <c r="P107"/>
  <c r="T200"/>
  <c r="T207"/>
  <c r="P248"/>
  <c r="J323"/>
  <c r="Q323" s="1"/>
  <c r="O15"/>
  <c r="O85"/>
  <c r="O87"/>
  <c r="O89"/>
  <c r="O91"/>
  <c r="O97"/>
  <c r="O114"/>
  <c r="O171"/>
  <c r="O192"/>
  <c r="M217"/>
  <c r="S230"/>
  <c r="O235"/>
  <c r="O261"/>
  <c r="O279"/>
  <c r="O281"/>
  <c r="O283"/>
  <c r="S296"/>
  <c r="S125"/>
  <c r="S166"/>
  <c r="K217"/>
  <c r="K216" s="1"/>
  <c r="K215" s="1"/>
  <c r="S223"/>
  <c r="S254"/>
  <c r="S298"/>
  <c r="S304"/>
  <c r="S306"/>
  <c r="S310"/>
  <c r="S319"/>
  <c r="S23"/>
  <c r="S106"/>
  <c r="S136"/>
  <c r="S175"/>
  <c r="O230"/>
  <c r="O252"/>
  <c r="O296"/>
  <c r="J15"/>
  <c r="J85"/>
  <c r="J192"/>
  <c r="T192" s="1"/>
  <c r="N230"/>
  <c r="N252"/>
  <c r="N296"/>
  <c r="N295" s="1"/>
  <c r="P319"/>
  <c r="O319"/>
  <c r="O106"/>
  <c r="N125"/>
  <c r="N166"/>
  <c r="G217"/>
  <c r="N223"/>
  <c r="N298"/>
  <c r="N304"/>
  <c r="N306"/>
  <c r="N310"/>
  <c r="J296"/>
  <c r="O34"/>
  <c r="O25"/>
  <c r="M40"/>
  <c r="O94"/>
  <c r="O109"/>
  <c r="O138"/>
  <c r="O152"/>
  <c r="O168"/>
  <c r="O218"/>
  <c r="O258"/>
  <c r="O276"/>
  <c r="O300"/>
  <c r="N25"/>
  <c r="N34"/>
  <c r="S105"/>
  <c r="N138"/>
  <c r="P154"/>
  <c r="N168"/>
  <c r="N188"/>
  <c r="N218"/>
  <c r="P227"/>
  <c r="N300"/>
  <c r="N16"/>
  <c r="T22"/>
  <c r="P29"/>
  <c r="T31"/>
  <c r="N38"/>
  <c r="K52"/>
  <c r="N82"/>
  <c r="T116"/>
  <c r="N122"/>
  <c r="T135"/>
  <c r="N172"/>
  <c r="N193"/>
  <c r="H211"/>
  <c r="N267"/>
  <c r="N291"/>
  <c r="M65"/>
  <c r="N65" s="1"/>
  <c r="J115"/>
  <c r="Q115" s="1"/>
  <c r="Q116"/>
  <c r="T210"/>
  <c r="S237"/>
  <c r="T203"/>
  <c r="T233"/>
  <c r="H236"/>
  <c r="S8"/>
  <c r="J255" i="90"/>
  <c r="H94"/>
  <c r="H91"/>
  <c r="H89"/>
  <c r="H88"/>
  <c r="H87"/>
  <c r="H85"/>
  <c r="T329" i="93" l="1"/>
  <c r="P329"/>
  <c r="S275"/>
  <c r="P324"/>
  <c r="T324"/>
  <c r="J275"/>
  <c r="P225"/>
  <c r="M45"/>
  <c r="O46"/>
  <c r="S46"/>
  <c r="P251"/>
  <c r="T251"/>
  <c r="T225"/>
  <c r="P13"/>
  <c r="T13"/>
  <c r="H6"/>
  <c r="S154"/>
  <c r="S198"/>
  <c r="P175"/>
  <c r="P199"/>
  <c r="J198"/>
  <c r="T199"/>
  <c r="J46"/>
  <c r="P47"/>
  <c r="P155"/>
  <c r="J154"/>
  <c r="T155"/>
  <c r="G5"/>
  <c r="O251"/>
  <c r="S251"/>
  <c r="T290" i="92"/>
  <c r="J289"/>
  <c r="T12"/>
  <c r="N289"/>
  <c r="N288" s="1"/>
  <c r="I268"/>
  <c r="I239" s="1"/>
  <c r="I274"/>
  <c r="Q229"/>
  <c r="P299"/>
  <c r="P300"/>
  <c r="S290"/>
  <c r="S289" s="1"/>
  <c r="M289"/>
  <c r="M288" s="1"/>
  <c r="S288" s="1"/>
  <c r="N14"/>
  <c r="Q62"/>
  <c r="S265"/>
  <c r="L6"/>
  <c r="Q280"/>
  <c r="P194"/>
  <c r="Q194"/>
  <c r="Q58"/>
  <c r="Q41"/>
  <c r="J10"/>
  <c r="T10" s="1"/>
  <c r="P172"/>
  <c r="N10"/>
  <c r="N7" s="1"/>
  <c r="T41"/>
  <c r="O265"/>
  <c r="J40"/>
  <c r="P40" s="1"/>
  <c r="P265"/>
  <c r="P12"/>
  <c r="T172"/>
  <c r="T250"/>
  <c r="P114"/>
  <c r="Q254"/>
  <c r="T254"/>
  <c r="Q279"/>
  <c r="N264"/>
  <c r="N263" s="1"/>
  <c r="P310"/>
  <c r="Q267"/>
  <c r="J264"/>
  <c r="J263" s="1"/>
  <c r="Q310"/>
  <c r="P298"/>
  <c r="P10"/>
  <c r="Q92"/>
  <c r="Q89"/>
  <c r="P283"/>
  <c r="Q283"/>
  <c r="Q87"/>
  <c r="P144"/>
  <c r="T283"/>
  <c r="O308"/>
  <c r="N112"/>
  <c r="N111" s="1"/>
  <c r="P138"/>
  <c r="T34"/>
  <c r="H139"/>
  <c r="M164"/>
  <c r="O164" s="1"/>
  <c r="Q291"/>
  <c r="Q284"/>
  <c r="P276"/>
  <c r="K268"/>
  <c r="P267"/>
  <c r="Q250"/>
  <c r="Q246"/>
  <c r="P251"/>
  <c r="P235"/>
  <c r="Q235"/>
  <c r="T235"/>
  <c r="T220"/>
  <c r="P220"/>
  <c r="P218"/>
  <c r="T218"/>
  <c r="Q228"/>
  <c r="N212"/>
  <c r="N211" s="1"/>
  <c r="P195"/>
  <c r="N180"/>
  <c r="N164" s="1"/>
  <c r="N163" s="1"/>
  <c r="O180"/>
  <c r="T167"/>
  <c r="P145"/>
  <c r="Q144"/>
  <c r="P122"/>
  <c r="Q98"/>
  <c r="P99"/>
  <c r="Q88"/>
  <c r="Q91"/>
  <c r="Q86"/>
  <c r="Q90"/>
  <c r="Q60"/>
  <c r="P16"/>
  <c r="Q28"/>
  <c r="Q16"/>
  <c r="P28"/>
  <c r="Q34"/>
  <c r="Q24"/>
  <c r="T24"/>
  <c r="M302"/>
  <c r="S302" s="1"/>
  <c r="P171"/>
  <c r="T171"/>
  <c r="Q171"/>
  <c r="P228"/>
  <c r="Q38"/>
  <c r="P116"/>
  <c r="P197"/>
  <c r="T199"/>
  <c r="P199"/>
  <c r="Q299"/>
  <c r="P17"/>
  <c r="Q17"/>
  <c r="Q304"/>
  <c r="Q23"/>
  <c r="P23"/>
  <c r="T23"/>
  <c r="Q197"/>
  <c r="J217"/>
  <c r="T217" s="1"/>
  <c r="S14"/>
  <c r="Q70"/>
  <c r="Q74"/>
  <c r="G163"/>
  <c r="Q136"/>
  <c r="T136"/>
  <c r="P136"/>
  <c r="N191"/>
  <c r="N190" s="1"/>
  <c r="Q306"/>
  <c r="M57"/>
  <c r="S57" s="1"/>
  <c r="Q168"/>
  <c r="T115"/>
  <c r="J308"/>
  <c r="T308" s="1"/>
  <c r="P137"/>
  <c r="N13"/>
  <c r="N308"/>
  <c r="N302" s="1"/>
  <c r="N294" s="1"/>
  <c r="Q167"/>
  <c r="S180"/>
  <c r="P238"/>
  <c r="Q238"/>
  <c r="J237"/>
  <c r="P234"/>
  <c r="Q234"/>
  <c r="T234"/>
  <c r="P59"/>
  <c r="Q204"/>
  <c r="P204"/>
  <c r="T204"/>
  <c r="G140"/>
  <c r="S141"/>
  <c r="S244"/>
  <c r="G243"/>
  <c r="P126"/>
  <c r="Q126"/>
  <c r="T126"/>
  <c r="P67"/>
  <c r="J66"/>
  <c r="P66" s="1"/>
  <c r="Q67"/>
  <c r="O212"/>
  <c r="M211"/>
  <c r="S211" s="1"/>
  <c r="G162"/>
  <c r="N86"/>
  <c r="O86"/>
  <c r="S277"/>
  <c r="J277"/>
  <c r="N277"/>
  <c r="M275"/>
  <c r="M274" s="1"/>
  <c r="O277"/>
  <c r="M216"/>
  <c r="O217"/>
  <c r="P80"/>
  <c r="Q80"/>
  <c r="P260"/>
  <c r="Q260"/>
  <c r="T315"/>
  <c r="P315"/>
  <c r="Q315"/>
  <c r="S10"/>
  <c r="P296"/>
  <c r="T296"/>
  <c r="J295"/>
  <c r="Q296"/>
  <c r="G294"/>
  <c r="P225"/>
  <c r="Q225"/>
  <c r="T225"/>
  <c r="P71"/>
  <c r="Q71"/>
  <c r="P245"/>
  <c r="Q245"/>
  <c r="T245"/>
  <c r="J244"/>
  <c r="T244" s="1"/>
  <c r="P143"/>
  <c r="Q143"/>
  <c r="I49"/>
  <c r="S66"/>
  <c r="N217"/>
  <c r="N216" s="1"/>
  <c r="N215" s="1"/>
  <c r="T301"/>
  <c r="P301"/>
  <c r="Q301"/>
  <c r="P9"/>
  <c r="T9"/>
  <c r="J8"/>
  <c r="Q9"/>
  <c r="P102"/>
  <c r="S102"/>
  <c r="P170"/>
  <c r="Q170"/>
  <c r="T170"/>
  <c r="Q83"/>
  <c r="P83"/>
  <c r="P177"/>
  <c r="Q177"/>
  <c r="T177"/>
  <c r="O185"/>
  <c r="M184"/>
  <c r="S184" s="1"/>
  <c r="P69"/>
  <c r="Q69"/>
  <c r="O241"/>
  <c r="O240" s="1"/>
  <c r="M240"/>
  <c r="S240" s="1"/>
  <c r="N75"/>
  <c r="G263"/>
  <c r="S264"/>
  <c r="O160"/>
  <c r="P160"/>
  <c r="M159"/>
  <c r="P159" s="1"/>
  <c r="O141"/>
  <c r="M140"/>
  <c r="G118"/>
  <c r="H47"/>
  <c r="Q146"/>
  <c r="P146"/>
  <c r="T146"/>
  <c r="J241"/>
  <c r="Q242"/>
  <c r="P242"/>
  <c r="P73"/>
  <c r="Q73"/>
  <c r="Q247"/>
  <c r="P247"/>
  <c r="T247"/>
  <c r="N58"/>
  <c r="O58"/>
  <c r="I48"/>
  <c r="I57"/>
  <c r="O40"/>
  <c r="S40"/>
  <c r="M39"/>
  <c r="N88"/>
  <c r="N51" s="1"/>
  <c r="O88"/>
  <c r="O120"/>
  <c r="M119"/>
  <c r="S119" s="1"/>
  <c r="P309"/>
  <c r="Q309"/>
  <c r="T309"/>
  <c r="J54"/>
  <c r="P54" s="1"/>
  <c r="I51"/>
  <c r="O51" s="1"/>
  <c r="O90"/>
  <c r="N90"/>
  <c r="N53" s="1"/>
  <c r="I53"/>
  <c r="O53" s="1"/>
  <c r="J191"/>
  <c r="T191" s="1"/>
  <c r="P192"/>
  <c r="Q192"/>
  <c r="P187"/>
  <c r="Q187"/>
  <c r="P182"/>
  <c r="Q182"/>
  <c r="P27"/>
  <c r="Q27"/>
  <c r="T27"/>
  <c r="T121"/>
  <c r="J120"/>
  <c r="P121"/>
  <c r="Q121"/>
  <c r="N68"/>
  <c r="N66" s="1"/>
  <c r="I66"/>
  <c r="O66" s="1"/>
  <c r="P272"/>
  <c r="N272"/>
  <c r="N271" s="1"/>
  <c r="O272"/>
  <c r="O271" s="1"/>
  <c r="M271"/>
  <c r="S271" s="1"/>
  <c r="S191"/>
  <c r="G190"/>
  <c r="P282"/>
  <c r="Q282"/>
  <c r="N141"/>
  <c r="N140" s="1"/>
  <c r="N139" s="1"/>
  <c r="J52"/>
  <c r="P52" s="1"/>
  <c r="P183"/>
  <c r="Q183"/>
  <c r="S54"/>
  <c r="O269"/>
  <c r="Q101"/>
  <c r="P101"/>
  <c r="Q196"/>
  <c r="P196"/>
  <c r="T196"/>
  <c r="Q286"/>
  <c r="P286"/>
  <c r="O116"/>
  <c r="O115" s="1"/>
  <c r="M115"/>
  <c r="S115" s="1"/>
  <c r="Q221"/>
  <c r="P221"/>
  <c r="P320"/>
  <c r="Q320"/>
  <c r="T320"/>
  <c r="P303"/>
  <c r="Q303"/>
  <c r="N120"/>
  <c r="N119" s="1"/>
  <c r="N118" s="1"/>
  <c r="P224"/>
  <c r="Q224"/>
  <c r="T224"/>
  <c r="N325"/>
  <c r="N324" s="1"/>
  <c r="N323" s="1"/>
  <c r="O325"/>
  <c r="P325"/>
  <c r="M324"/>
  <c r="S324" s="1"/>
  <c r="P270"/>
  <c r="Q270"/>
  <c r="J269"/>
  <c r="S51"/>
  <c r="S52"/>
  <c r="P290"/>
  <c r="P289" s="1"/>
  <c r="Q290"/>
  <c r="Q289" s="1"/>
  <c r="T128"/>
  <c r="Q128"/>
  <c r="P128"/>
  <c r="I52"/>
  <c r="O52" s="1"/>
  <c r="N62"/>
  <c r="O62"/>
  <c r="P165"/>
  <c r="Q165"/>
  <c r="J164"/>
  <c r="O43"/>
  <c r="M42"/>
  <c r="T37"/>
  <c r="J35"/>
  <c r="Q37"/>
  <c r="P37"/>
  <c r="Q123"/>
  <c r="P123"/>
  <c r="T123"/>
  <c r="P33"/>
  <c r="Q33"/>
  <c r="N60"/>
  <c r="N50" s="1"/>
  <c r="I50"/>
  <c r="O50" s="1"/>
  <c r="O60"/>
  <c r="P77"/>
  <c r="Q77"/>
  <c r="P278"/>
  <c r="Q278"/>
  <c r="P79"/>
  <c r="Q79"/>
  <c r="S185"/>
  <c r="Q100"/>
  <c r="Q59"/>
  <c r="P96"/>
  <c r="Q96"/>
  <c r="P32"/>
  <c r="Q32"/>
  <c r="T32"/>
  <c r="Q316"/>
  <c r="P316"/>
  <c r="T316"/>
  <c r="J14"/>
  <c r="P15"/>
  <c r="Q15"/>
  <c r="T15"/>
  <c r="N92"/>
  <c r="N55" s="1"/>
  <c r="O92"/>
  <c r="P157"/>
  <c r="T157"/>
  <c r="Q157"/>
  <c r="P259"/>
  <c r="Q259"/>
  <c r="Q19"/>
  <c r="T19"/>
  <c r="P19"/>
  <c r="P186"/>
  <c r="Q186"/>
  <c r="J185"/>
  <c r="J111"/>
  <c r="T111" s="1"/>
  <c r="P112"/>
  <c r="G45"/>
  <c r="P44"/>
  <c r="Q44"/>
  <c r="J43"/>
  <c r="P262"/>
  <c r="Q262"/>
  <c r="P63"/>
  <c r="J53"/>
  <c r="P53" s="1"/>
  <c r="P148"/>
  <c r="T148"/>
  <c r="Q148"/>
  <c r="H189"/>
  <c r="P21"/>
  <c r="Q21"/>
  <c r="T21"/>
  <c r="J48"/>
  <c r="Q48" s="1"/>
  <c r="N35"/>
  <c r="G7"/>
  <c r="I55"/>
  <c r="S212"/>
  <c r="S95"/>
  <c r="J95"/>
  <c r="J49" s="1"/>
  <c r="N95"/>
  <c r="N93" s="1"/>
  <c r="O95"/>
  <c r="O93" s="1"/>
  <c r="M49"/>
  <c r="I54"/>
  <c r="O54" s="1"/>
  <c r="N64"/>
  <c r="N54" s="1"/>
  <c r="O64"/>
  <c r="P322"/>
  <c r="Q322"/>
  <c r="T322"/>
  <c r="J65"/>
  <c r="J57" s="1"/>
  <c r="M55"/>
  <c r="O65"/>
  <c r="S65"/>
  <c r="P18"/>
  <c r="Q18"/>
  <c r="T18"/>
  <c r="J75"/>
  <c r="P76"/>
  <c r="Q76"/>
  <c r="P149"/>
  <c r="Q149"/>
  <c r="P124"/>
  <c r="Q124"/>
  <c r="P219"/>
  <c r="Q219"/>
  <c r="Q68"/>
  <c r="P68"/>
  <c r="T183"/>
  <c r="M93"/>
  <c r="S93" s="1"/>
  <c r="S50"/>
  <c r="S325"/>
  <c r="M7"/>
  <c r="P213"/>
  <c r="Q213"/>
  <c r="J212"/>
  <c r="M111"/>
  <c r="O111" s="1"/>
  <c r="O112"/>
  <c r="P127"/>
  <c r="T127"/>
  <c r="Q127"/>
  <c r="P61"/>
  <c r="J51"/>
  <c r="P51" s="1"/>
  <c r="P307"/>
  <c r="Q307"/>
  <c r="J84"/>
  <c r="P85"/>
  <c r="Q85"/>
  <c r="J141"/>
  <c r="T141" s="1"/>
  <c r="P142"/>
  <c r="Q142"/>
  <c r="M243"/>
  <c r="O243" s="1"/>
  <c r="N244"/>
  <c r="N243" s="1"/>
  <c r="O244"/>
  <c r="O191"/>
  <c r="M190"/>
  <c r="Q198"/>
  <c r="T198"/>
  <c r="P198"/>
  <c r="P255"/>
  <c r="Q255"/>
  <c r="P169"/>
  <c r="Q169"/>
  <c r="O264"/>
  <c r="M263"/>
  <c r="G323"/>
  <c r="T324"/>
  <c r="S269"/>
  <c r="S35"/>
  <c r="O68"/>
  <c r="S241"/>
  <c r="S112"/>
  <c r="H215"/>
  <c r="Q285"/>
  <c r="P285"/>
  <c r="O14"/>
  <c r="M13"/>
  <c r="O13" s="1"/>
  <c r="S217"/>
  <c r="G216"/>
  <c r="N280"/>
  <c r="O280"/>
  <c r="N98"/>
  <c r="O98"/>
  <c r="P153"/>
  <c r="Q153"/>
  <c r="G268"/>
  <c r="Q81"/>
  <c r="P81"/>
  <c r="Q72"/>
  <c r="P72"/>
  <c r="J271"/>
  <c r="T271" s="1"/>
  <c r="P273"/>
  <c r="Q273"/>
  <c r="N185"/>
  <c r="N184" s="1"/>
  <c r="T259"/>
  <c r="J50"/>
  <c r="P50" s="1"/>
  <c r="S53"/>
  <c r="T112"/>
  <c r="I85" i="90"/>
  <c r="P198" i="93" l="1"/>
  <c r="T198"/>
  <c r="J45"/>
  <c r="P46"/>
  <c r="P154"/>
  <c r="T154"/>
  <c r="P275"/>
  <c r="T275"/>
  <c r="O45"/>
  <c r="S45"/>
  <c r="M6"/>
  <c r="H5"/>
  <c r="O289" i="92"/>
  <c r="O288" s="1"/>
  <c r="N162"/>
  <c r="Q40"/>
  <c r="Q10"/>
  <c r="J39"/>
  <c r="T39" s="1"/>
  <c r="T40"/>
  <c r="G239"/>
  <c r="S164"/>
  <c r="Q66"/>
  <c r="S163"/>
  <c r="M163"/>
  <c r="O163" s="1"/>
  <c r="N275"/>
  <c r="T264"/>
  <c r="P264"/>
  <c r="Q264"/>
  <c r="N189"/>
  <c r="N49"/>
  <c r="O84"/>
  <c r="O57"/>
  <c r="Q53"/>
  <c r="P49"/>
  <c r="P308"/>
  <c r="Q308"/>
  <c r="M294"/>
  <c r="S294" s="1"/>
  <c r="O302"/>
  <c r="N293"/>
  <c r="Q50"/>
  <c r="S13"/>
  <c r="Q217"/>
  <c r="N84"/>
  <c r="Q49"/>
  <c r="P217"/>
  <c r="N52"/>
  <c r="Q54"/>
  <c r="J302"/>
  <c r="Q302" s="1"/>
  <c r="J216"/>
  <c r="P115"/>
  <c r="P57"/>
  <c r="Q57"/>
  <c r="H268"/>
  <c r="G293"/>
  <c r="Q120"/>
  <c r="J119"/>
  <c r="P120"/>
  <c r="T120"/>
  <c r="J288"/>
  <c r="T289"/>
  <c r="Q51"/>
  <c r="P185"/>
  <c r="J184"/>
  <c r="T185"/>
  <c r="Q185"/>
  <c r="S243"/>
  <c r="P295"/>
  <c r="T295"/>
  <c r="Q295"/>
  <c r="P84"/>
  <c r="Q84"/>
  <c r="I47"/>
  <c r="I46" s="1"/>
  <c r="I45" s="1"/>
  <c r="I6" s="1"/>
  <c r="O48"/>
  <c r="S7"/>
  <c r="G6"/>
  <c r="P43"/>
  <c r="J42"/>
  <c r="Q43"/>
  <c r="J243"/>
  <c r="T243" s="1"/>
  <c r="P244"/>
  <c r="Q244"/>
  <c r="O190"/>
  <c r="M189"/>
  <c r="O189" s="1"/>
  <c r="P277"/>
  <c r="Q277"/>
  <c r="J275"/>
  <c r="J274" s="1"/>
  <c r="P274" s="1"/>
  <c r="S274"/>
  <c r="O275"/>
  <c r="P65"/>
  <c r="J55"/>
  <c r="Q65"/>
  <c r="J140"/>
  <c r="T140" s="1"/>
  <c r="P141"/>
  <c r="Q141"/>
  <c r="P75"/>
  <c r="Q75"/>
  <c r="O55"/>
  <c r="S55"/>
  <c r="P237"/>
  <c r="T237"/>
  <c r="J236"/>
  <c r="Q237"/>
  <c r="G215"/>
  <c r="S216"/>
  <c r="J7"/>
  <c r="P8"/>
  <c r="Q8"/>
  <c r="O39"/>
  <c r="S39"/>
  <c r="P241"/>
  <c r="J240"/>
  <c r="Q241"/>
  <c r="P269"/>
  <c r="Q269"/>
  <c r="T269"/>
  <c r="Q52"/>
  <c r="S263"/>
  <c r="S111"/>
  <c r="P111"/>
  <c r="Q111"/>
  <c r="O216"/>
  <c r="M215"/>
  <c r="O215" s="1"/>
  <c r="P191"/>
  <c r="J190"/>
  <c r="Q191"/>
  <c r="G189"/>
  <c r="S190"/>
  <c r="P164"/>
  <c r="Q164"/>
  <c r="J163"/>
  <c r="T164"/>
  <c r="O42"/>
  <c r="S42"/>
  <c r="P95"/>
  <c r="Q95"/>
  <c r="J93"/>
  <c r="Q263"/>
  <c r="P263"/>
  <c r="O119"/>
  <c r="M118"/>
  <c r="O118" s="1"/>
  <c r="Q271"/>
  <c r="P271"/>
  <c r="O140"/>
  <c r="M139"/>
  <c r="O139" s="1"/>
  <c r="N57"/>
  <c r="N48"/>
  <c r="P48"/>
  <c r="P14"/>
  <c r="J13"/>
  <c r="Q14"/>
  <c r="T14"/>
  <c r="H46"/>
  <c r="O7"/>
  <c r="O324"/>
  <c r="M323"/>
  <c r="P324"/>
  <c r="P212"/>
  <c r="J211"/>
  <c r="T212"/>
  <c r="Q212"/>
  <c r="O49"/>
  <c r="S49"/>
  <c r="M47"/>
  <c r="P35"/>
  <c r="Q35"/>
  <c r="T35"/>
  <c r="G139"/>
  <c r="S140"/>
  <c r="S159"/>
  <c r="S275"/>
  <c r="H48" i="90"/>
  <c r="K48"/>
  <c r="L48"/>
  <c r="H49"/>
  <c r="I49"/>
  <c r="K49"/>
  <c r="L49"/>
  <c r="H50"/>
  <c r="K50"/>
  <c r="L50"/>
  <c r="H51"/>
  <c r="K51"/>
  <c r="L51"/>
  <c r="H52"/>
  <c r="K52"/>
  <c r="L52"/>
  <c r="H53"/>
  <c r="I53"/>
  <c r="K53"/>
  <c r="L53"/>
  <c r="H54"/>
  <c r="K54"/>
  <c r="L54"/>
  <c r="H55"/>
  <c r="I55"/>
  <c r="K55"/>
  <c r="L55"/>
  <c r="G49"/>
  <c r="G50"/>
  <c r="G51"/>
  <c r="G52"/>
  <c r="G53"/>
  <c r="G54"/>
  <c r="G55"/>
  <c r="G48"/>
  <c r="S110"/>
  <c r="O110"/>
  <c r="N110"/>
  <c r="M110"/>
  <c r="O109"/>
  <c r="N109"/>
  <c r="M109"/>
  <c r="P109" s="1"/>
  <c r="O108"/>
  <c r="N108"/>
  <c r="M108"/>
  <c r="S108" s="1"/>
  <c r="O107"/>
  <c r="N107"/>
  <c r="M107"/>
  <c r="O106"/>
  <c r="N106"/>
  <c r="M106"/>
  <c r="S106" s="1"/>
  <c r="N105"/>
  <c r="M105"/>
  <c r="M104"/>
  <c r="O104" s="1"/>
  <c r="K102"/>
  <c r="M103"/>
  <c r="M102" s="1"/>
  <c r="Q103"/>
  <c r="L102"/>
  <c r="G102"/>
  <c r="G31"/>
  <c r="G28"/>
  <c r="G132"/>
  <c r="K322"/>
  <c r="K323"/>
  <c r="K321"/>
  <c r="G314"/>
  <c r="G316"/>
  <c r="G311"/>
  <c r="P45" i="93" l="1"/>
  <c r="T45"/>
  <c r="J6"/>
  <c r="O6"/>
  <c r="M5"/>
  <c r="S6"/>
  <c r="N274" i="92"/>
  <c r="N268" s="1"/>
  <c r="N239" s="1"/>
  <c r="P39"/>
  <c r="Q39"/>
  <c r="M162"/>
  <c r="O162" s="1"/>
  <c r="M293"/>
  <c r="O293" s="1"/>
  <c r="O294"/>
  <c r="J215"/>
  <c r="T215" s="1"/>
  <c r="N47"/>
  <c r="N46" s="1"/>
  <c r="N45" s="1"/>
  <c r="N6" s="1"/>
  <c r="Q216"/>
  <c r="P302"/>
  <c r="T302"/>
  <c r="P216"/>
  <c r="J294"/>
  <c r="T294" s="1"/>
  <c r="T216"/>
  <c r="J139"/>
  <c r="P140"/>
  <c r="Q140"/>
  <c r="P184"/>
  <c r="Q184"/>
  <c r="P42"/>
  <c r="Q42"/>
  <c r="P240"/>
  <c r="Q240"/>
  <c r="S323"/>
  <c r="P288"/>
  <c r="Q288"/>
  <c r="T288"/>
  <c r="P55"/>
  <c r="Q55"/>
  <c r="H239"/>
  <c r="P190"/>
  <c r="J189"/>
  <c r="T189" s="1"/>
  <c r="Q190"/>
  <c r="P211"/>
  <c r="Q211"/>
  <c r="P243"/>
  <c r="Q243"/>
  <c r="J47"/>
  <c r="S215"/>
  <c r="S189"/>
  <c r="J162"/>
  <c r="P163"/>
  <c r="Q163"/>
  <c r="T163"/>
  <c r="P119"/>
  <c r="Q119"/>
  <c r="J118"/>
  <c r="T119"/>
  <c r="T190"/>
  <c r="S118"/>
  <c r="G5"/>
  <c r="P275"/>
  <c r="T275"/>
  <c r="Q275"/>
  <c r="O47"/>
  <c r="M46"/>
  <c r="S47"/>
  <c r="P236"/>
  <c r="Q236"/>
  <c r="H45"/>
  <c r="P93"/>
  <c r="Q93"/>
  <c r="O274"/>
  <c r="M268"/>
  <c r="P7"/>
  <c r="Q7"/>
  <c r="O323"/>
  <c r="P323"/>
  <c r="P13"/>
  <c r="Q13"/>
  <c r="T13"/>
  <c r="S139"/>
  <c r="N103" i="90"/>
  <c r="N102" s="1"/>
  <c r="N104"/>
  <c r="S102"/>
  <c r="P110"/>
  <c r="Q110"/>
  <c r="P105"/>
  <c r="Q105"/>
  <c r="P103"/>
  <c r="J102"/>
  <c r="P102" s="1"/>
  <c r="P107"/>
  <c r="Q107"/>
  <c r="Q109"/>
  <c r="Q104"/>
  <c r="P104"/>
  <c r="I102"/>
  <c r="H102"/>
  <c r="S103"/>
  <c r="S105"/>
  <c r="S107"/>
  <c r="O103"/>
  <c r="S109"/>
  <c r="O105"/>
  <c r="S104"/>
  <c r="G301"/>
  <c r="G300"/>
  <c r="G269"/>
  <c r="G265"/>
  <c r="G258"/>
  <c r="G255"/>
  <c r="G214"/>
  <c r="G203"/>
  <c r="G201"/>
  <c r="G200"/>
  <c r="G153"/>
  <c r="G150"/>
  <c r="P6" i="93" l="1"/>
  <c r="J5"/>
  <c r="Q5" s="1"/>
  <c r="O5"/>
  <c r="S5"/>
  <c r="S162" i="92"/>
  <c r="S293"/>
  <c r="P215"/>
  <c r="Q215"/>
  <c r="P294"/>
  <c r="Q294"/>
  <c r="J293"/>
  <c r="T293" s="1"/>
  <c r="P139"/>
  <c r="Q139"/>
  <c r="O268"/>
  <c r="M239"/>
  <c r="S268"/>
  <c r="T274"/>
  <c r="Q274"/>
  <c r="J268"/>
  <c r="M45"/>
  <c r="O46"/>
  <c r="S46"/>
  <c r="P47"/>
  <c r="J46"/>
  <c r="Q47"/>
  <c r="P162"/>
  <c r="Q162"/>
  <c r="T162"/>
  <c r="H6"/>
  <c r="P118"/>
  <c r="Q118"/>
  <c r="T118"/>
  <c r="P189"/>
  <c r="Q189"/>
  <c r="T139"/>
  <c r="Q106" i="90"/>
  <c r="P106"/>
  <c r="P108"/>
  <c r="Q108"/>
  <c r="Q102"/>
  <c r="O102"/>
  <c r="P5" i="93" l="1"/>
  <c r="P293" i="92"/>
  <c r="Q293"/>
  <c r="O239"/>
  <c r="S239"/>
  <c r="P268"/>
  <c r="T268"/>
  <c r="Q268"/>
  <c r="J239"/>
  <c r="O45"/>
  <c r="S45"/>
  <c r="M6"/>
  <c r="S6" s="1"/>
  <c r="J45"/>
  <c r="P46"/>
  <c r="Q46"/>
  <c r="K301" i="90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00"/>
  <c r="G252"/>
  <c r="G248"/>
  <c r="H281"/>
  <c r="H280"/>
  <c r="H279"/>
  <c r="H276"/>
  <c r="H275"/>
  <c r="K289"/>
  <c r="K288"/>
  <c r="K276"/>
  <c r="K277"/>
  <c r="K278"/>
  <c r="K279"/>
  <c r="K280"/>
  <c r="K281"/>
  <c r="K282"/>
  <c r="K283"/>
  <c r="K284"/>
  <c r="K285"/>
  <c r="K275"/>
  <c r="K272"/>
  <c r="K271"/>
  <c r="K269"/>
  <c r="G259"/>
  <c r="G257"/>
  <c r="G254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45"/>
  <c r="G246"/>
  <c r="G245"/>
  <c r="G210"/>
  <c r="G206"/>
  <c r="G197"/>
  <c r="G196"/>
  <c r="G195"/>
  <c r="G194"/>
  <c r="G193"/>
  <c r="K214"/>
  <c r="K213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192"/>
  <c r="G143"/>
  <c r="G142"/>
  <c r="K143"/>
  <c r="K144"/>
  <c r="K145"/>
  <c r="K146"/>
  <c r="K147"/>
  <c r="K148"/>
  <c r="K149"/>
  <c r="K150"/>
  <c r="K151"/>
  <c r="K152"/>
  <c r="K153"/>
  <c r="K154"/>
  <c r="K155"/>
  <c r="K156"/>
  <c r="K157"/>
  <c r="K158"/>
  <c r="K142"/>
  <c r="G172"/>
  <c r="G170"/>
  <c r="G169"/>
  <c r="G166"/>
  <c r="G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65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18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21"/>
  <c r="I82"/>
  <c r="H74"/>
  <c r="H73"/>
  <c r="H72"/>
  <c r="H71"/>
  <c r="H70"/>
  <c r="H69"/>
  <c r="H68"/>
  <c r="H67"/>
  <c r="H65"/>
  <c r="H64"/>
  <c r="H63"/>
  <c r="H62"/>
  <c r="H61"/>
  <c r="H60"/>
  <c r="H59"/>
  <c r="H58"/>
  <c r="P45" i="92" l="1"/>
  <c r="T45"/>
  <c r="J6"/>
  <c r="Q45"/>
  <c r="P239"/>
  <c r="T239"/>
  <c r="Q239"/>
  <c r="O6"/>
  <c r="K212" i="90"/>
  <c r="K211" s="1"/>
  <c r="K95"/>
  <c r="M95" s="1"/>
  <c r="K96"/>
  <c r="M96" s="1"/>
  <c r="N96" s="1"/>
  <c r="K97"/>
  <c r="M97" s="1"/>
  <c r="S97" s="1"/>
  <c r="K98"/>
  <c r="M98" s="1"/>
  <c r="S98" s="1"/>
  <c r="K99"/>
  <c r="K100"/>
  <c r="K101"/>
  <c r="M101" s="1"/>
  <c r="K94"/>
  <c r="M94" s="1"/>
  <c r="K86"/>
  <c r="M86" s="1"/>
  <c r="S86" s="1"/>
  <c r="K87"/>
  <c r="M87" s="1"/>
  <c r="J87" s="1"/>
  <c r="K88"/>
  <c r="M88" s="1"/>
  <c r="S88" s="1"/>
  <c r="K89"/>
  <c r="M89" s="1"/>
  <c r="K90"/>
  <c r="M90" s="1"/>
  <c r="K91"/>
  <c r="K92"/>
  <c r="K85"/>
  <c r="M85" s="1"/>
  <c r="S85" s="1"/>
  <c r="K82"/>
  <c r="M82" s="1"/>
  <c r="S82" s="1"/>
  <c r="K68"/>
  <c r="M68" s="1"/>
  <c r="K69"/>
  <c r="M69" s="1"/>
  <c r="K70"/>
  <c r="M70" s="1"/>
  <c r="S70" s="1"/>
  <c r="K71"/>
  <c r="M71" s="1"/>
  <c r="K72"/>
  <c r="M72" s="1"/>
  <c r="K73"/>
  <c r="M73" s="1"/>
  <c r="J73" s="1"/>
  <c r="P73" s="1"/>
  <c r="K74"/>
  <c r="M74" s="1"/>
  <c r="K67"/>
  <c r="K59"/>
  <c r="K60"/>
  <c r="M60" s="1"/>
  <c r="M50" s="1"/>
  <c r="K61"/>
  <c r="M61" s="1"/>
  <c r="K62"/>
  <c r="K63"/>
  <c r="K64"/>
  <c r="M64" s="1"/>
  <c r="K65"/>
  <c r="K58"/>
  <c r="K117"/>
  <c r="M117" s="1"/>
  <c r="L112"/>
  <c r="L111" s="1"/>
  <c r="K114"/>
  <c r="M114" s="1"/>
  <c r="K113"/>
  <c r="M113" s="1"/>
  <c r="N113" s="1"/>
  <c r="K44"/>
  <c r="M44" s="1"/>
  <c r="K12"/>
  <c r="M12" s="1"/>
  <c r="K11"/>
  <c r="M11" s="1"/>
  <c r="K9"/>
  <c r="M9" s="1"/>
  <c r="S9" s="1"/>
  <c r="G32"/>
  <c r="G29"/>
  <c r="T29" s="1"/>
  <c r="G20"/>
  <c r="G18"/>
  <c r="G16"/>
  <c r="K16"/>
  <c r="M16" s="1"/>
  <c r="K17"/>
  <c r="M17" s="1"/>
  <c r="K18"/>
  <c r="K19"/>
  <c r="K20"/>
  <c r="K21"/>
  <c r="K22"/>
  <c r="M22" s="1"/>
  <c r="K23"/>
  <c r="K24"/>
  <c r="K25"/>
  <c r="K26"/>
  <c r="M26" s="1"/>
  <c r="K27"/>
  <c r="M27" s="1"/>
  <c r="K28"/>
  <c r="M28" s="1"/>
  <c r="K29"/>
  <c r="M29" s="1"/>
  <c r="K30"/>
  <c r="K31"/>
  <c r="M31" s="1"/>
  <c r="N31" s="1"/>
  <c r="K32"/>
  <c r="M32" s="1"/>
  <c r="K33"/>
  <c r="M33" s="1"/>
  <c r="K34"/>
  <c r="M34" s="1"/>
  <c r="S34" s="1"/>
  <c r="K15"/>
  <c r="M15" s="1"/>
  <c r="G15"/>
  <c r="Q323"/>
  <c r="O323"/>
  <c r="M323"/>
  <c r="N323" s="1"/>
  <c r="Q322"/>
  <c r="M322"/>
  <c r="Q321"/>
  <c r="M321"/>
  <c r="S321" s="1"/>
  <c r="G321"/>
  <c r="L320"/>
  <c r="L319" s="1"/>
  <c r="K320"/>
  <c r="K319" s="1"/>
  <c r="J320"/>
  <c r="I320"/>
  <c r="I319" s="1"/>
  <c r="H320"/>
  <c r="H319" s="1"/>
  <c r="G320"/>
  <c r="O318"/>
  <c r="M318"/>
  <c r="J318" s="1"/>
  <c r="M317"/>
  <c r="S317" s="1"/>
  <c r="T316"/>
  <c r="Q316"/>
  <c r="M316"/>
  <c r="S316" s="1"/>
  <c r="Q315"/>
  <c r="O315"/>
  <c r="M315"/>
  <c r="N315" s="1"/>
  <c r="M314"/>
  <c r="N314" s="1"/>
  <c r="M313"/>
  <c r="O313" s="1"/>
  <c r="S312"/>
  <c r="M312"/>
  <c r="T311"/>
  <c r="Q311"/>
  <c r="M311"/>
  <c r="S311" s="1"/>
  <c r="T310"/>
  <c r="Q310"/>
  <c r="M310"/>
  <c r="S310" s="1"/>
  <c r="G310"/>
  <c r="Q309"/>
  <c r="M309"/>
  <c r="N309" s="1"/>
  <c r="G309"/>
  <c r="T308"/>
  <c r="Q308"/>
  <c r="N308"/>
  <c r="M308"/>
  <c r="O308" s="1"/>
  <c r="G308"/>
  <c r="M307"/>
  <c r="G307"/>
  <c r="M306"/>
  <c r="M305"/>
  <c r="G305"/>
  <c r="M304"/>
  <c r="G304"/>
  <c r="M303"/>
  <c r="S303" s="1"/>
  <c r="G303"/>
  <c r="M302"/>
  <c r="G302"/>
  <c r="M301"/>
  <c r="S301" s="1"/>
  <c r="N300"/>
  <c r="M300"/>
  <c r="J300" s="1"/>
  <c r="L299"/>
  <c r="L291" s="1"/>
  <c r="L290" s="1"/>
  <c r="K299"/>
  <c r="I299"/>
  <c r="I291" s="1"/>
  <c r="I290" s="1"/>
  <c r="H299"/>
  <c r="H291" s="1"/>
  <c r="N298"/>
  <c r="M298"/>
  <c r="S298" s="1"/>
  <c r="K298"/>
  <c r="K297"/>
  <c r="M297" s="1"/>
  <c r="S297" s="1"/>
  <c r="S296"/>
  <c r="O296"/>
  <c r="N296"/>
  <c r="M296"/>
  <c r="J296" s="1"/>
  <c r="K296"/>
  <c r="N295"/>
  <c r="M295"/>
  <c r="J295" s="1"/>
  <c r="Q295" s="1"/>
  <c r="K295"/>
  <c r="K294"/>
  <c r="M294" s="1"/>
  <c r="T293"/>
  <c r="S293"/>
  <c r="P293"/>
  <c r="O293"/>
  <c r="M293"/>
  <c r="J293" s="1"/>
  <c r="Q293" s="1"/>
  <c r="K293"/>
  <c r="L292"/>
  <c r="K292"/>
  <c r="J292"/>
  <c r="I292"/>
  <c r="H292"/>
  <c r="G292"/>
  <c r="K291"/>
  <c r="K290"/>
  <c r="M289"/>
  <c r="J289" s="1"/>
  <c r="M288"/>
  <c r="N288" s="1"/>
  <c r="G288"/>
  <c r="L287"/>
  <c r="L286" s="1"/>
  <c r="K287"/>
  <c r="K286" s="1"/>
  <c r="I287"/>
  <c r="I286" s="1"/>
  <c r="H287"/>
  <c r="G287"/>
  <c r="M285"/>
  <c r="M284"/>
  <c r="J284" s="1"/>
  <c r="G284"/>
  <c r="M283"/>
  <c r="J283" s="1"/>
  <c r="M282"/>
  <c r="G282"/>
  <c r="S281"/>
  <c r="M281"/>
  <c r="I281"/>
  <c r="G281"/>
  <c r="G274" s="1"/>
  <c r="S280"/>
  <c r="M280"/>
  <c r="J280" s="1"/>
  <c r="P280" s="1"/>
  <c r="I280"/>
  <c r="M279"/>
  <c r="I279"/>
  <c r="N278"/>
  <c r="M278"/>
  <c r="J278" s="1"/>
  <c r="K274"/>
  <c r="K273" s="1"/>
  <c r="I278"/>
  <c r="M277"/>
  <c r="O277" s="1"/>
  <c r="I277"/>
  <c r="S276"/>
  <c r="M276"/>
  <c r="J276" s="1"/>
  <c r="P276" s="1"/>
  <c r="I276"/>
  <c r="S275"/>
  <c r="M275"/>
  <c r="I275"/>
  <c r="H274"/>
  <c r="L274"/>
  <c r="L273" s="1"/>
  <c r="O272"/>
  <c r="M272"/>
  <c r="J272" s="1"/>
  <c r="Q271"/>
  <c r="M271"/>
  <c r="G271"/>
  <c r="L270"/>
  <c r="K270"/>
  <c r="I270"/>
  <c r="H270"/>
  <c r="M269"/>
  <c r="K268"/>
  <c r="L268"/>
  <c r="I268"/>
  <c r="H268"/>
  <c r="S266"/>
  <c r="K266"/>
  <c r="M266" s="1"/>
  <c r="J266" s="1"/>
  <c r="Q265"/>
  <c r="M265"/>
  <c r="N265" s="1"/>
  <c r="K265"/>
  <c r="L264"/>
  <c r="L263" s="1"/>
  <c r="K264"/>
  <c r="I264"/>
  <c r="I263" s="1"/>
  <c r="H264"/>
  <c r="G264"/>
  <c r="K263"/>
  <c r="M262"/>
  <c r="G262"/>
  <c r="M261"/>
  <c r="J261" s="1"/>
  <c r="K244"/>
  <c r="K243" s="1"/>
  <c r="G261"/>
  <c r="M260"/>
  <c r="S260" s="1"/>
  <c r="O259"/>
  <c r="N259"/>
  <c r="M259"/>
  <c r="J259" s="1"/>
  <c r="T258"/>
  <c r="Q258"/>
  <c r="M258"/>
  <c r="P258" s="1"/>
  <c r="T257"/>
  <c r="Q257"/>
  <c r="N257"/>
  <c r="M257"/>
  <c r="P257" s="1"/>
  <c r="T256"/>
  <c r="Q256"/>
  <c r="M256"/>
  <c r="N256" s="1"/>
  <c r="G256"/>
  <c r="M255"/>
  <c r="S255" s="1"/>
  <c r="T254"/>
  <c r="Q254"/>
  <c r="M254"/>
  <c r="N254" s="1"/>
  <c r="T253"/>
  <c r="Q253"/>
  <c r="M253"/>
  <c r="G253"/>
  <c r="S252"/>
  <c r="O252"/>
  <c r="N252"/>
  <c r="M252"/>
  <c r="J252" s="1"/>
  <c r="S251"/>
  <c r="M251"/>
  <c r="M250"/>
  <c r="G250"/>
  <c r="S249"/>
  <c r="M249"/>
  <c r="G249"/>
  <c r="M248"/>
  <c r="M247"/>
  <c r="J247" s="1"/>
  <c r="T247" s="1"/>
  <c r="M246"/>
  <c r="P245"/>
  <c r="O245"/>
  <c r="M245"/>
  <c r="J245" s="1"/>
  <c r="Q245" s="1"/>
  <c r="L244"/>
  <c r="L243" s="1"/>
  <c r="I244"/>
  <c r="I243" s="1"/>
  <c r="H244"/>
  <c r="N242"/>
  <c r="N241" s="1"/>
  <c r="N240" s="1"/>
  <c r="M242"/>
  <c r="M241" s="1"/>
  <c r="M240" s="1"/>
  <c r="K242"/>
  <c r="L241"/>
  <c r="K241"/>
  <c r="I241"/>
  <c r="H241"/>
  <c r="H240" s="1"/>
  <c r="G241"/>
  <c r="L240"/>
  <c r="K240"/>
  <c r="I240"/>
  <c r="G240"/>
  <c r="K239"/>
  <c r="O238"/>
  <c r="M238"/>
  <c r="J238" s="1"/>
  <c r="J237" s="1"/>
  <c r="L237"/>
  <c r="L236" s="1"/>
  <c r="I237"/>
  <c r="I236" s="1"/>
  <c r="H237"/>
  <c r="G237"/>
  <c r="M235"/>
  <c r="M234"/>
  <c r="J234" s="1"/>
  <c r="P234" s="1"/>
  <c r="Q233"/>
  <c r="M233"/>
  <c r="O233" s="1"/>
  <c r="G233"/>
  <c r="T232"/>
  <c r="Q232"/>
  <c r="M232"/>
  <c r="S232" s="1"/>
  <c r="K217"/>
  <c r="K216" s="1"/>
  <c r="K215" s="1"/>
  <c r="T231"/>
  <c r="Q231"/>
  <c r="M231"/>
  <c r="N230"/>
  <c r="M230"/>
  <c r="J230" s="1"/>
  <c r="M229"/>
  <c r="S229" s="1"/>
  <c r="M228"/>
  <c r="T227"/>
  <c r="Q227"/>
  <c r="M227"/>
  <c r="N227" s="1"/>
  <c r="G227"/>
  <c r="T226"/>
  <c r="Q226"/>
  <c r="M226"/>
  <c r="S226" s="1"/>
  <c r="M225"/>
  <c r="J225" s="1"/>
  <c r="Q225" s="1"/>
  <c r="M224"/>
  <c r="S223"/>
  <c r="O223"/>
  <c r="M223"/>
  <c r="J223" s="1"/>
  <c r="M222"/>
  <c r="M221"/>
  <c r="S220"/>
  <c r="M220"/>
  <c r="M219"/>
  <c r="M218"/>
  <c r="J218" s="1"/>
  <c r="P218" s="1"/>
  <c r="G218"/>
  <c r="L217"/>
  <c r="L216" s="1"/>
  <c r="L215" s="1"/>
  <c r="I217"/>
  <c r="I216" s="1"/>
  <c r="I215" s="1"/>
  <c r="H217"/>
  <c r="G217"/>
  <c r="Q214"/>
  <c r="M214"/>
  <c r="N214" s="1"/>
  <c r="S213"/>
  <c r="O213"/>
  <c r="M213"/>
  <c r="N213" s="1"/>
  <c r="L212"/>
  <c r="L211" s="1"/>
  <c r="I212"/>
  <c r="I211" s="1"/>
  <c r="H212"/>
  <c r="H211" s="1"/>
  <c r="G212"/>
  <c r="G211" s="1"/>
  <c r="M210"/>
  <c r="O210" s="1"/>
  <c r="M209"/>
  <c r="G209"/>
  <c r="M208"/>
  <c r="G208"/>
  <c r="Q207"/>
  <c r="N207"/>
  <c r="M207"/>
  <c r="P207" s="1"/>
  <c r="G207"/>
  <c r="T206"/>
  <c r="Q206"/>
  <c r="O206"/>
  <c r="M206"/>
  <c r="N206" s="1"/>
  <c r="T205"/>
  <c r="Q205"/>
  <c r="M205"/>
  <c r="S204"/>
  <c r="O204"/>
  <c r="M204"/>
  <c r="Q203"/>
  <c r="M203"/>
  <c r="M202"/>
  <c r="O202" s="1"/>
  <c r="Q201"/>
  <c r="M201"/>
  <c r="S201" s="1"/>
  <c r="Q200"/>
  <c r="M200"/>
  <c r="T200"/>
  <c r="N199"/>
  <c r="M199"/>
  <c r="J199" s="1"/>
  <c r="P199" s="1"/>
  <c r="G199"/>
  <c r="M198"/>
  <c r="J198" s="1"/>
  <c r="G198"/>
  <c r="M197"/>
  <c r="J197" s="1"/>
  <c r="T197" s="1"/>
  <c r="S196"/>
  <c r="M196"/>
  <c r="J196" s="1"/>
  <c r="Q195"/>
  <c r="M195"/>
  <c r="J195" s="1"/>
  <c r="P195" s="1"/>
  <c r="N194"/>
  <c r="M194"/>
  <c r="S194" s="1"/>
  <c r="K191"/>
  <c r="M193"/>
  <c r="J193" s="1"/>
  <c r="M192"/>
  <c r="G192"/>
  <c r="L191"/>
  <c r="L190" s="1"/>
  <c r="I191"/>
  <c r="I190" s="1"/>
  <c r="H191"/>
  <c r="H190" s="1"/>
  <c r="K190"/>
  <c r="S188"/>
  <c r="O188"/>
  <c r="N188"/>
  <c r="M188"/>
  <c r="J188" s="1"/>
  <c r="K188"/>
  <c r="Q187"/>
  <c r="P187"/>
  <c r="N187"/>
  <c r="M187"/>
  <c r="J187" s="1"/>
  <c r="K187"/>
  <c r="M186"/>
  <c r="S186" s="1"/>
  <c r="K186"/>
  <c r="L185"/>
  <c r="K185"/>
  <c r="I185"/>
  <c r="I184" s="1"/>
  <c r="H185"/>
  <c r="H184" s="1"/>
  <c r="G185"/>
  <c r="G184" s="1"/>
  <c r="L184"/>
  <c r="K184"/>
  <c r="K162" s="1"/>
  <c r="T183"/>
  <c r="M183"/>
  <c r="J183" s="1"/>
  <c r="P183" s="1"/>
  <c r="G183"/>
  <c r="M182"/>
  <c r="T181"/>
  <c r="S181"/>
  <c r="Q181"/>
  <c r="O181"/>
  <c r="M181"/>
  <c r="J181" s="1"/>
  <c r="P181" s="1"/>
  <c r="Q180"/>
  <c r="M180"/>
  <c r="G180"/>
  <c r="Q179"/>
  <c r="M179"/>
  <c r="P179" s="1"/>
  <c r="G179"/>
  <c r="T178"/>
  <c r="Q178"/>
  <c r="M178"/>
  <c r="N177"/>
  <c r="M177"/>
  <c r="J177" s="1"/>
  <c r="T176"/>
  <c r="Q176"/>
  <c r="M176"/>
  <c r="T175"/>
  <c r="S175"/>
  <c r="Q175"/>
  <c r="O175"/>
  <c r="M175"/>
  <c r="N175" s="1"/>
  <c r="T174"/>
  <c r="Q174"/>
  <c r="M174"/>
  <c r="N174" s="1"/>
  <c r="T173"/>
  <c r="Q173"/>
  <c r="M173"/>
  <c r="N173" s="1"/>
  <c r="M172"/>
  <c r="M171"/>
  <c r="J171" s="1"/>
  <c r="N170"/>
  <c r="M170"/>
  <c r="S170" s="1"/>
  <c r="K164"/>
  <c r="S169"/>
  <c r="O169"/>
  <c r="N169"/>
  <c r="M169"/>
  <c r="J169" s="1"/>
  <c r="M168"/>
  <c r="S168" s="1"/>
  <c r="M167"/>
  <c r="J167" s="1"/>
  <c r="P167" s="1"/>
  <c r="M166"/>
  <c r="N166" s="1"/>
  <c r="M165"/>
  <c r="L164"/>
  <c r="L163" s="1"/>
  <c r="I164"/>
  <c r="I163" s="1"/>
  <c r="H164"/>
  <c r="K163"/>
  <c r="Q161"/>
  <c r="K161"/>
  <c r="M161" s="1"/>
  <c r="S161" s="1"/>
  <c r="L160"/>
  <c r="L159" s="1"/>
  <c r="K160"/>
  <c r="J160"/>
  <c r="J159" s="1"/>
  <c r="I160"/>
  <c r="I159" s="1"/>
  <c r="H160"/>
  <c r="G160"/>
  <c r="G159" s="1"/>
  <c r="K159"/>
  <c r="Q158"/>
  <c r="M158"/>
  <c r="N158" s="1"/>
  <c r="G158"/>
  <c r="S157"/>
  <c r="M157"/>
  <c r="T156"/>
  <c r="Q156"/>
  <c r="M156"/>
  <c r="G156"/>
  <c r="T155"/>
  <c r="Q155"/>
  <c r="P155"/>
  <c r="O155"/>
  <c r="N155"/>
  <c r="M155"/>
  <c r="S155" s="1"/>
  <c r="G155"/>
  <c r="T154"/>
  <c r="Q154"/>
  <c r="M154"/>
  <c r="N154" s="1"/>
  <c r="Q153"/>
  <c r="P153"/>
  <c r="O153"/>
  <c r="M153"/>
  <c r="N153" s="1"/>
  <c r="T153"/>
  <c r="T152"/>
  <c r="Q152"/>
  <c r="N152"/>
  <c r="M152"/>
  <c r="O152" s="1"/>
  <c r="T151"/>
  <c r="Q151"/>
  <c r="M151"/>
  <c r="T150"/>
  <c r="Q150"/>
  <c r="M150"/>
  <c r="S150" s="1"/>
  <c r="S149"/>
  <c r="O149"/>
  <c r="N149"/>
  <c r="M149"/>
  <c r="J149" s="1"/>
  <c r="G149"/>
  <c r="M148"/>
  <c r="S148" s="1"/>
  <c r="M147"/>
  <c r="O147" s="1"/>
  <c r="G147"/>
  <c r="S146"/>
  <c r="M146"/>
  <c r="G146"/>
  <c r="G141" s="1"/>
  <c r="S145"/>
  <c r="O145"/>
  <c r="M145"/>
  <c r="J145" s="1"/>
  <c r="G145"/>
  <c r="N144"/>
  <c r="M144"/>
  <c r="J144" s="1"/>
  <c r="T144" s="1"/>
  <c r="M143"/>
  <c r="M142"/>
  <c r="J142" s="1"/>
  <c r="P142" s="1"/>
  <c r="L141"/>
  <c r="L140" s="1"/>
  <c r="K141"/>
  <c r="I141"/>
  <c r="I140" s="1"/>
  <c r="H141"/>
  <c r="H140" s="1"/>
  <c r="K140"/>
  <c r="K139"/>
  <c r="M138"/>
  <c r="G138"/>
  <c r="S137"/>
  <c r="M137"/>
  <c r="N137" s="1"/>
  <c r="S136"/>
  <c r="M136"/>
  <c r="Q135"/>
  <c r="M135"/>
  <c r="G135"/>
  <c r="T134"/>
  <c r="S134"/>
  <c r="Q134"/>
  <c r="P134"/>
  <c r="M134"/>
  <c r="G134"/>
  <c r="T133"/>
  <c r="S133"/>
  <c r="Q133"/>
  <c r="N133"/>
  <c r="M133"/>
  <c r="O133" s="1"/>
  <c r="N132"/>
  <c r="M132"/>
  <c r="J132" s="1"/>
  <c r="Q132" s="1"/>
  <c r="Q131"/>
  <c r="M131"/>
  <c r="G131"/>
  <c r="T130"/>
  <c r="Q130"/>
  <c r="P130"/>
  <c r="O130"/>
  <c r="M130"/>
  <c r="N130" s="1"/>
  <c r="Q129"/>
  <c r="M129"/>
  <c r="N129" s="1"/>
  <c r="G129"/>
  <c r="G120" s="1"/>
  <c r="O128"/>
  <c r="N128"/>
  <c r="M128"/>
  <c r="J128" s="1"/>
  <c r="S127"/>
  <c r="M127"/>
  <c r="J127" s="1"/>
  <c r="N126"/>
  <c r="M126"/>
  <c r="S126" s="1"/>
  <c r="K120"/>
  <c r="M125"/>
  <c r="S125" s="1"/>
  <c r="M124"/>
  <c r="M123"/>
  <c r="J123" s="1"/>
  <c r="T123" s="1"/>
  <c r="M122"/>
  <c r="S122" s="1"/>
  <c r="M121"/>
  <c r="L120"/>
  <c r="L119" s="1"/>
  <c r="L118" s="1"/>
  <c r="I120"/>
  <c r="I119" s="1"/>
  <c r="I118" s="1"/>
  <c r="H120"/>
  <c r="K119"/>
  <c r="K118"/>
  <c r="T117"/>
  <c r="Q117"/>
  <c r="L116"/>
  <c r="L115" s="1"/>
  <c r="K116"/>
  <c r="J116"/>
  <c r="J115" s="1"/>
  <c r="I116"/>
  <c r="I115" s="1"/>
  <c r="H116"/>
  <c r="Q116" s="1"/>
  <c r="G116"/>
  <c r="K115"/>
  <c r="T113"/>
  <c r="Q113"/>
  <c r="I112"/>
  <c r="I111" s="1"/>
  <c r="H112"/>
  <c r="G112"/>
  <c r="K111"/>
  <c r="I101"/>
  <c r="N100"/>
  <c r="M100"/>
  <c r="S100" s="1"/>
  <c r="I100"/>
  <c r="H100"/>
  <c r="N99"/>
  <c r="M99"/>
  <c r="J99" s="1"/>
  <c r="I99"/>
  <c r="I98"/>
  <c r="I93" s="1"/>
  <c r="H98"/>
  <c r="H93" s="1"/>
  <c r="I97"/>
  <c r="I96"/>
  <c r="I95"/>
  <c r="H95"/>
  <c r="I94"/>
  <c r="I48" s="1"/>
  <c r="L93"/>
  <c r="G93"/>
  <c r="M92"/>
  <c r="S92" s="1"/>
  <c r="H92"/>
  <c r="I92" s="1"/>
  <c r="M91"/>
  <c r="I91"/>
  <c r="I54" s="1"/>
  <c r="I90"/>
  <c r="H90"/>
  <c r="I89"/>
  <c r="I52" s="1"/>
  <c r="I88"/>
  <c r="I51" s="1"/>
  <c r="I87"/>
  <c r="I50" s="1"/>
  <c r="I86"/>
  <c r="H86"/>
  <c r="L84"/>
  <c r="H84"/>
  <c r="G84"/>
  <c r="S83"/>
  <c r="Q83"/>
  <c r="O83"/>
  <c r="M83"/>
  <c r="J83" s="1"/>
  <c r="P83" s="1"/>
  <c r="K83"/>
  <c r="M81"/>
  <c r="S81" s="1"/>
  <c r="K81"/>
  <c r="S80"/>
  <c r="K80"/>
  <c r="M80" s="1"/>
  <c r="K79"/>
  <c r="M79" s="1"/>
  <c r="K78"/>
  <c r="M78" s="1"/>
  <c r="O77"/>
  <c r="M77"/>
  <c r="S77" s="1"/>
  <c r="K77"/>
  <c r="K75" s="1"/>
  <c r="S76"/>
  <c r="O76"/>
  <c r="O75" s="1"/>
  <c r="N76"/>
  <c r="M76"/>
  <c r="K76"/>
  <c r="L75"/>
  <c r="I75"/>
  <c r="H75"/>
  <c r="G75"/>
  <c r="I74"/>
  <c r="I73"/>
  <c r="I72"/>
  <c r="I71"/>
  <c r="I70"/>
  <c r="I69"/>
  <c r="I68"/>
  <c r="I67"/>
  <c r="L66"/>
  <c r="G66"/>
  <c r="M65"/>
  <c r="I65"/>
  <c r="I64"/>
  <c r="I63"/>
  <c r="M62"/>
  <c r="I62"/>
  <c r="I61"/>
  <c r="I60"/>
  <c r="I59"/>
  <c r="I58"/>
  <c r="L57"/>
  <c r="H57"/>
  <c r="G57"/>
  <c r="G47"/>
  <c r="K47"/>
  <c r="K46"/>
  <c r="K45"/>
  <c r="L43"/>
  <c r="L42" s="1"/>
  <c r="I43"/>
  <c r="I42" s="1"/>
  <c r="H43"/>
  <c r="G43"/>
  <c r="H42"/>
  <c r="G42"/>
  <c r="K41"/>
  <c r="M41" s="1"/>
  <c r="K40"/>
  <c r="I40"/>
  <c r="I39" s="1"/>
  <c r="H40"/>
  <c r="G40"/>
  <c r="G39" s="1"/>
  <c r="L39"/>
  <c r="K39"/>
  <c r="K38"/>
  <c r="M38" s="1"/>
  <c r="S37"/>
  <c r="O37"/>
  <c r="M37"/>
  <c r="J37" s="1"/>
  <c r="K37"/>
  <c r="T36"/>
  <c r="Q36"/>
  <c r="K36"/>
  <c r="M36" s="1"/>
  <c r="S36" s="1"/>
  <c r="L35"/>
  <c r="K35"/>
  <c r="I35"/>
  <c r="H35"/>
  <c r="G35"/>
  <c r="T31"/>
  <c r="Q31"/>
  <c r="T30"/>
  <c r="Q30"/>
  <c r="O30"/>
  <c r="N30"/>
  <c r="M30"/>
  <c r="P30" s="1"/>
  <c r="Q29"/>
  <c r="T26"/>
  <c r="Q26"/>
  <c r="S25"/>
  <c r="M25"/>
  <c r="S24"/>
  <c r="O24"/>
  <c r="N24"/>
  <c r="M24"/>
  <c r="J24" s="1"/>
  <c r="M23"/>
  <c r="J23" s="1"/>
  <c r="P23" s="1"/>
  <c r="G22"/>
  <c r="N21"/>
  <c r="M21"/>
  <c r="J21" s="1"/>
  <c r="P21" s="1"/>
  <c r="O20"/>
  <c r="M20"/>
  <c r="N20" s="1"/>
  <c r="M19"/>
  <c r="J19" s="1"/>
  <c r="P19" s="1"/>
  <c r="M18"/>
  <c r="L14"/>
  <c r="L13" s="1"/>
  <c r="I14"/>
  <c r="I13" s="1"/>
  <c r="H14"/>
  <c r="K13"/>
  <c r="G12"/>
  <c r="T11"/>
  <c r="Q11"/>
  <c r="L10"/>
  <c r="K10"/>
  <c r="I10"/>
  <c r="H10"/>
  <c r="G10"/>
  <c r="T9"/>
  <c r="Q9"/>
  <c r="L8"/>
  <c r="K8"/>
  <c r="J8"/>
  <c r="I8"/>
  <c r="I7" s="1"/>
  <c r="H8"/>
  <c r="G8"/>
  <c r="K7"/>
  <c r="K6"/>
  <c r="J265" i="89"/>
  <c r="K265"/>
  <c r="I265"/>
  <c r="J267"/>
  <c r="J268"/>
  <c r="J269"/>
  <c r="J270"/>
  <c r="J271"/>
  <c r="J272"/>
  <c r="P6" i="92" l="1"/>
  <c r="Q6"/>
  <c r="O5"/>
  <c r="S5"/>
  <c r="S285" i="90"/>
  <c r="J285"/>
  <c r="O218"/>
  <c r="N23"/>
  <c r="N247"/>
  <c r="N197"/>
  <c r="S197"/>
  <c r="Q8"/>
  <c r="M54"/>
  <c r="M52"/>
  <c r="S65"/>
  <c r="M55"/>
  <c r="O55" s="1"/>
  <c r="S61"/>
  <c r="M51"/>
  <c r="S23"/>
  <c r="O23"/>
  <c r="N233"/>
  <c r="N234"/>
  <c r="N232"/>
  <c r="T218"/>
  <c r="J79"/>
  <c r="Q79" s="1"/>
  <c r="N79"/>
  <c r="S79"/>
  <c r="J27"/>
  <c r="Q27" s="1"/>
  <c r="N27"/>
  <c r="J78"/>
  <c r="Q78" s="1"/>
  <c r="N78"/>
  <c r="O78"/>
  <c r="N204"/>
  <c r="J204"/>
  <c r="S183"/>
  <c r="Q183"/>
  <c r="S265"/>
  <c r="S295"/>
  <c r="O81"/>
  <c r="O183"/>
  <c r="P295"/>
  <c r="K43"/>
  <c r="K42" s="1"/>
  <c r="N81"/>
  <c r="S99"/>
  <c r="S128"/>
  <c r="N183"/>
  <c r="S187"/>
  <c r="S195"/>
  <c r="S258"/>
  <c r="O265"/>
  <c r="O295"/>
  <c r="O300"/>
  <c r="S193"/>
  <c r="P175"/>
  <c r="O193"/>
  <c r="S199"/>
  <c r="P206"/>
  <c r="O278"/>
  <c r="O298"/>
  <c r="O137"/>
  <c r="J137"/>
  <c r="Q137" s="1"/>
  <c r="S30"/>
  <c r="S198"/>
  <c r="N223"/>
  <c r="O255"/>
  <c r="O285"/>
  <c r="M112"/>
  <c r="S112" s="1"/>
  <c r="K112"/>
  <c r="O122"/>
  <c r="S130"/>
  <c r="O144"/>
  <c r="O198"/>
  <c r="N255"/>
  <c r="M292"/>
  <c r="O292" s="1"/>
  <c r="O123"/>
  <c r="N123"/>
  <c r="L162"/>
  <c r="Q188"/>
  <c r="P188"/>
  <c r="N186"/>
  <c r="N185" s="1"/>
  <c r="N184" s="1"/>
  <c r="P321"/>
  <c r="O321"/>
  <c r="N321"/>
  <c r="H290"/>
  <c r="N272"/>
  <c r="N269"/>
  <c r="N268" s="1"/>
  <c r="S259"/>
  <c r="Q160"/>
  <c r="S318"/>
  <c r="S308"/>
  <c r="S315"/>
  <c r="S314"/>
  <c r="Q314"/>
  <c r="O316"/>
  <c r="N316"/>
  <c r="S288"/>
  <c r="Q280"/>
  <c r="O284"/>
  <c r="N284"/>
  <c r="S272"/>
  <c r="K267"/>
  <c r="M287"/>
  <c r="M286" s="1"/>
  <c r="L267"/>
  <c r="L239" s="1"/>
  <c r="N276"/>
  <c r="Q276"/>
  <c r="N280"/>
  <c r="M268"/>
  <c r="O268" s="1"/>
  <c r="T245"/>
  <c r="S245"/>
  <c r="O257"/>
  <c r="S261"/>
  <c r="S247"/>
  <c r="S257"/>
  <c r="P247"/>
  <c r="O261"/>
  <c r="O247"/>
  <c r="N261"/>
  <c r="O199"/>
  <c r="O196"/>
  <c r="K189"/>
  <c r="K5" s="1"/>
  <c r="J213"/>
  <c r="N212"/>
  <c r="N211" s="1"/>
  <c r="L189"/>
  <c r="S206"/>
  <c r="O195"/>
  <c r="N195"/>
  <c r="O197"/>
  <c r="S208"/>
  <c r="S207"/>
  <c r="I189"/>
  <c r="S153"/>
  <c r="L139"/>
  <c r="N145"/>
  <c r="S144"/>
  <c r="S154"/>
  <c r="Q144"/>
  <c r="P144"/>
  <c r="O154"/>
  <c r="O158"/>
  <c r="J148"/>
  <c r="P148" s="1"/>
  <c r="S147"/>
  <c r="S158"/>
  <c r="P158"/>
  <c r="I162"/>
  <c r="T167"/>
  <c r="S167"/>
  <c r="Q167"/>
  <c r="S174"/>
  <c r="O167"/>
  <c r="N167"/>
  <c r="P174"/>
  <c r="N179"/>
  <c r="P169"/>
  <c r="Q169"/>
  <c r="T169"/>
  <c r="S179"/>
  <c r="O174"/>
  <c r="J168"/>
  <c r="P168" s="1"/>
  <c r="S165"/>
  <c r="O168"/>
  <c r="S177"/>
  <c r="S234"/>
  <c r="T234"/>
  <c r="Q234"/>
  <c r="O234"/>
  <c r="S238"/>
  <c r="Q238"/>
  <c r="N226"/>
  <c r="P238"/>
  <c r="M237"/>
  <c r="O237" s="1"/>
  <c r="S230"/>
  <c r="O230"/>
  <c r="S218"/>
  <c r="Q218"/>
  <c r="P226"/>
  <c r="O226"/>
  <c r="S227"/>
  <c r="P227"/>
  <c r="O227"/>
  <c r="P232"/>
  <c r="O232"/>
  <c r="P137"/>
  <c r="O132"/>
  <c r="O126"/>
  <c r="T128"/>
  <c r="P128"/>
  <c r="Q128"/>
  <c r="S123"/>
  <c r="Q123"/>
  <c r="P123"/>
  <c r="S132"/>
  <c r="I57"/>
  <c r="J95"/>
  <c r="P95" s="1"/>
  <c r="N95"/>
  <c r="O95"/>
  <c r="O100"/>
  <c r="J94"/>
  <c r="P94" s="1"/>
  <c r="S94"/>
  <c r="J97"/>
  <c r="N94"/>
  <c r="N97"/>
  <c r="K84"/>
  <c r="J85"/>
  <c r="N85"/>
  <c r="N86"/>
  <c r="J72"/>
  <c r="P72" s="1"/>
  <c r="O72"/>
  <c r="S72"/>
  <c r="N73"/>
  <c r="K66"/>
  <c r="M67"/>
  <c r="J67" s="1"/>
  <c r="P67" s="1"/>
  <c r="Q73"/>
  <c r="J64"/>
  <c r="N64"/>
  <c r="S64"/>
  <c r="J60"/>
  <c r="S60"/>
  <c r="N60"/>
  <c r="O60"/>
  <c r="K57"/>
  <c r="M63"/>
  <c r="L47"/>
  <c r="L46" s="1"/>
  <c r="L45" s="1"/>
  <c r="O65"/>
  <c r="N65"/>
  <c r="M116"/>
  <c r="O116" s="1"/>
  <c r="O115" s="1"/>
  <c r="S117"/>
  <c r="S114"/>
  <c r="N114"/>
  <c r="N112" s="1"/>
  <c r="O114"/>
  <c r="J44"/>
  <c r="J43" s="1"/>
  <c r="Q43" s="1"/>
  <c r="N44"/>
  <c r="N43" s="1"/>
  <c r="N42" s="1"/>
  <c r="M43"/>
  <c r="S44"/>
  <c r="O44"/>
  <c r="S11"/>
  <c r="P11"/>
  <c r="J16"/>
  <c r="Q16" s="1"/>
  <c r="O16"/>
  <c r="S17"/>
  <c r="N17"/>
  <c r="O17"/>
  <c r="O22"/>
  <c r="N22"/>
  <c r="N28"/>
  <c r="J28"/>
  <c r="P28" s="1"/>
  <c r="O28"/>
  <c r="S28"/>
  <c r="S29"/>
  <c r="O29"/>
  <c r="O32"/>
  <c r="S32"/>
  <c r="N33"/>
  <c r="O33"/>
  <c r="S33"/>
  <c r="T21"/>
  <c r="S21"/>
  <c r="Q21"/>
  <c r="O21"/>
  <c r="N15"/>
  <c r="O15"/>
  <c r="K14"/>
  <c r="S15"/>
  <c r="J33"/>
  <c r="P33" s="1"/>
  <c r="S19"/>
  <c r="Q19"/>
  <c r="P20"/>
  <c r="J15"/>
  <c r="P15" s="1"/>
  <c r="T19"/>
  <c r="O19"/>
  <c r="N205"/>
  <c r="O205"/>
  <c r="P205"/>
  <c r="S205"/>
  <c r="O209"/>
  <c r="N209"/>
  <c r="J209"/>
  <c r="Q87"/>
  <c r="P87"/>
  <c r="G119"/>
  <c r="N74"/>
  <c r="Q300"/>
  <c r="P300"/>
  <c r="N89"/>
  <c r="P230"/>
  <c r="Q230"/>
  <c r="T230"/>
  <c r="J74"/>
  <c r="O74"/>
  <c r="S74"/>
  <c r="Q278"/>
  <c r="P278"/>
  <c r="Q261"/>
  <c r="P261"/>
  <c r="S143"/>
  <c r="J143"/>
  <c r="O143"/>
  <c r="N143"/>
  <c r="J264"/>
  <c r="Q266"/>
  <c r="P266"/>
  <c r="S282"/>
  <c r="S304"/>
  <c r="Q193"/>
  <c r="P193"/>
  <c r="J228"/>
  <c r="N228"/>
  <c r="S228"/>
  <c r="O228"/>
  <c r="J221"/>
  <c r="N221"/>
  <c r="O221"/>
  <c r="S221"/>
  <c r="J172"/>
  <c r="N172"/>
  <c r="S172"/>
  <c r="O172"/>
  <c r="O271"/>
  <c r="O270" s="1"/>
  <c r="P271"/>
  <c r="N271"/>
  <c r="M270"/>
  <c r="N68"/>
  <c r="J89"/>
  <c r="O89"/>
  <c r="S89"/>
  <c r="N192"/>
  <c r="O192"/>
  <c r="J192"/>
  <c r="T192" s="1"/>
  <c r="M191"/>
  <c r="N178"/>
  <c r="O178"/>
  <c r="P178"/>
  <c r="S178"/>
  <c r="J124"/>
  <c r="N124"/>
  <c r="O124"/>
  <c r="S124"/>
  <c r="N306"/>
  <c r="S306"/>
  <c r="O306"/>
  <c r="J306"/>
  <c r="N88"/>
  <c r="O88"/>
  <c r="I84"/>
  <c r="J138"/>
  <c r="T138" s="1"/>
  <c r="N138"/>
  <c r="O138"/>
  <c r="O224"/>
  <c r="S224"/>
  <c r="J224"/>
  <c r="N224"/>
  <c r="P284"/>
  <c r="Q284"/>
  <c r="P223"/>
  <c r="Q223"/>
  <c r="T223"/>
  <c r="P24"/>
  <c r="T24"/>
  <c r="Q24"/>
  <c r="J42"/>
  <c r="P43"/>
  <c r="P171"/>
  <c r="Q171"/>
  <c r="T171"/>
  <c r="N235"/>
  <c r="O235"/>
  <c r="S235"/>
  <c r="J235"/>
  <c r="S246"/>
  <c r="J246"/>
  <c r="N246"/>
  <c r="O246"/>
  <c r="M244"/>
  <c r="P252"/>
  <c r="Q252"/>
  <c r="T252"/>
  <c r="J302"/>
  <c r="N302"/>
  <c r="O302"/>
  <c r="S302"/>
  <c r="P145"/>
  <c r="Q145"/>
  <c r="O68"/>
  <c r="S68"/>
  <c r="J68"/>
  <c r="P68" s="1"/>
  <c r="J282"/>
  <c r="T282" s="1"/>
  <c r="N282"/>
  <c r="O282"/>
  <c r="N135"/>
  <c r="P135"/>
  <c r="O135"/>
  <c r="Q198"/>
  <c r="P198"/>
  <c r="T37"/>
  <c r="P37"/>
  <c r="Q37"/>
  <c r="N92"/>
  <c r="O92"/>
  <c r="P131"/>
  <c r="N131"/>
  <c r="O131"/>
  <c r="P180"/>
  <c r="N180"/>
  <c r="O180"/>
  <c r="S135"/>
  <c r="H189"/>
  <c r="Q269"/>
  <c r="J268"/>
  <c r="P269"/>
  <c r="H273"/>
  <c r="N70"/>
  <c r="O70"/>
  <c r="T318"/>
  <c r="Q318"/>
  <c r="P318"/>
  <c r="P248"/>
  <c r="Q248"/>
  <c r="P149"/>
  <c r="Q149"/>
  <c r="T149"/>
  <c r="S182"/>
  <c r="N182"/>
  <c r="O182"/>
  <c r="J182"/>
  <c r="P177"/>
  <c r="Q177"/>
  <c r="T177"/>
  <c r="O91"/>
  <c r="S91"/>
  <c r="J91"/>
  <c r="G140"/>
  <c r="O203"/>
  <c r="P203"/>
  <c r="N203"/>
  <c r="P259"/>
  <c r="Q259"/>
  <c r="T259"/>
  <c r="P296"/>
  <c r="Q296"/>
  <c r="T296"/>
  <c r="S264"/>
  <c r="S156"/>
  <c r="S240"/>
  <c r="J18"/>
  <c r="N18"/>
  <c r="O18"/>
  <c r="G46"/>
  <c r="N26"/>
  <c r="O26"/>
  <c r="P26"/>
  <c r="S26"/>
  <c r="N69"/>
  <c r="P196"/>
  <c r="Q196"/>
  <c r="I66"/>
  <c r="J101"/>
  <c r="N101"/>
  <c r="O101"/>
  <c r="S101"/>
  <c r="M93"/>
  <c r="S93" s="1"/>
  <c r="S38"/>
  <c r="N38"/>
  <c r="O38"/>
  <c r="J38"/>
  <c r="J35" s="1"/>
  <c r="M35"/>
  <c r="O35" s="1"/>
  <c r="S219"/>
  <c r="J219"/>
  <c r="N219"/>
  <c r="M217"/>
  <c r="S217" s="1"/>
  <c r="O219"/>
  <c r="N121"/>
  <c r="O121"/>
  <c r="S121"/>
  <c r="J121"/>
  <c r="M120"/>
  <c r="N151"/>
  <c r="P151"/>
  <c r="O151"/>
  <c r="S151"/>
  <c r="N91"/>
  <c r="N12"/>
  <c r="S12"/>
  <c r="J12"/>
  <c r="O12"/>
  <c r="M10"/>
  <c r="O10" s="1"/>
  <c r="P99"/>
  <c r="Q99"/>
  <c r="S294"/>
  <c r="J294"/>
  <c r="N294"/>
  <c r="O294"/>
  <c r="N156"/>
  <c r="O156"/>
  <c r="P156"/>
  <c r="N200"/>
  <c r="P200"/>
  <c r="O200"/>
  <c r="S200"/>
  <c r="M40"/>
  <c r="S40" s="1"/>
  <c r="J41"/>
  <c r="N41"/>
  <c r="N40" s="1"/>
  <c r="N39" s="1"/>
  <c r="O41"/>
  <c r="S41"/>
  <c r="N304"/>
  <c r="O304"/>
  <c r="J304"/>
  <c r="J62"/>
  <c r="N62"/>
  <c r="S62"/>
  <c r="O62"/>
  <c r="N71"/>
  <c r="N250"/>
  <c r="O250"/>
  <c r="J250"/>
  <c r="T250" s="1"/>
  <c r="S90"/>
  <c r="O90"/>
  <c r="J90"/>
  <c r="P90" s="1"/>
  <c r="N90"/>
  <c r="P127"/>
  <c r="Q127"/>
  <c r="T127"/>
  <c r="N165"/>
  <c r="J165"/>
  <c r="T165" s="1"/>
  <c r="O165"/>
  <c r="M164"/>
  <c r="M84"/>
  <c r="S84" s="1"/>
  <c r="I139"/>
  <c r="S250"/>
  <c r="N157"/>
  <c r="O157"/>
  <c r="J275"/>
  <c r="O275"/>
  <c r="S138"/>
  <c r="S307"/>
  <c r="J313"/>
  <c r="T22"/>
  <c r="J157"/>
  <c r="S241"/>
  <c r="N61"/>
  <c r="P78"/>
  <c r="S95"/>
  <c r="N98"/>
  <c r="P132"/>
  <c r="N142"/>
  <c r="N147"/>
  <c r="O170"/>
  <c r="O179"/>
  <c r="O194"/>
  <c r="N202"/>
  <c r="O207"/>
  <c r="N210"/>
  <c r="O242"/>
  <c r="Q247"/>
  <c r="S278"/>
  <c r="S284"/>
  <c r="S300"/>
  <c r="N310"/>
  <c r="N313"/>
  <c r="P316"/>
  <c r="O176"/>
  <c r="P176"/>
  <c r="N176"/>
  <c r="G236"/>
  <c r="T237"/>
  <c r="J249"/>
  <c r="O249"/>
  <c r="N249"/>
  <c r="N289"/>
  <c r="N287" s="1"/>
  <c r="N286" s="1"/>
  <c r="O289"/>
  <c r="S289"/>
  <c r="S292"/>
  <c r="T292"/>
  <c r="N16"/>
  <c r="N19"/>
  <c r="P29"/>
  <c r="N37"/>
  <c r="J65"/>
  <c r="N72"/>
  <c r="N77"/>
  <c r="J100"/>
  <c r="P100" s="1"/>
  <c r="M141"/>
  <c r="S141" s="1"/>
  <c r="P154"/>
  <c r="N181"/>
  <c r="N196"/>
  <c r="P265"/>
  <c r="G273"/>
  <c r="P315"/>
  <c r="O129"/>
  <c r="P129"/>
  <c r="J229"/>
  <c r="O229"/>
  <c r="N229"/>
  <c r="J281"/>
  <c r="P281" s="1"/>
  <c r="O281"/>
  <c r="J242"/>
  <c r="S210"/>
  <c r="O258"/>
  <c r="N258"/>
  <c r="G286"/>
  <c r="O309"/>
  <c r="P309"/>
  <c r="N80"/>
  <c r="O80"/>
  <c r="H163"/>
  <c r="N231"/>
  <c r="O231"/>
  <c r="P231"/>
  <c r="S231"/>
  <c r="P289"/>
  <c r="Q289"/>
  <c r="S309"/>
  <c r="T309"/>
  <c r="J312"/>
  <c r="N312"/>
  <c r="O312"/>
  <c r="H119"/>
  <c r="J146"/>
  <c r="N146"/>
  <c r="O146"/>
  <c r="J260"/>
  <c r="O260"/>
  <c r="N260"/>
  <c r="N283"/>
  <c r="O283"/>
  <c r="S283"/>
  <c r="J297"/>
  <c r="N297"/>
  <c r="O297"/>
  <c r="K93"/>
  <c r="M14"/>
  <c r="J186"/>
  <c r="J194"/>
  <c r="P292"/>
  <c r="Q292"/>
  <c r="T225"/>
  <c r="O241"/>
  <c r="O240" s="1"/>
  <c r="T300"/>
  <c r="T23"/>
  <c r="N29"/>
  <c r="S31"/>
  <c r="M58"/>
  <c r="M48" s="1"/>
  <c r="J80"/>
  <c r="N83"/>
  <c r="O85"/>
  <c r="S87"/>
  <c r="O97"/>
  <c r="N122"/>
  <c r="G164"/>
  <c r="N193"/>
  <c r="N198"/>
  <c r="S225"/>
  <c r="G244"/>
  <c r="S248"/>
  <c r="S254"/>
  <c r="S277"/>
  <c r="O280"/>
  <c r="N318"/>
  <c r="S20"/>
  <c r="T20"/>
  <c r="O173"/>
  <c r="P173"/>
  <c r="S173"/>
  <c r="J220"/>
  <c r="N220"/>
  <c r="O220"/>
  <c r="P152"/>
  <c r="S152"/>
  <c r="N134"/>
  <c r="O134"/>
  <c r="N201"/>
  <c r="P201"/>
  <c r="O201"/>
  <c r="O69"/>
  <c r="S69"/>
  <c r="N222"/>
  <c r="O222"/>
  <c r="S222"/>
  <c r="J125"/>
  <c r="N125"/>
  <c r="O125"/>
  <c r="S131"/>
  <c r="T131"/>
  <c r="N136"/>
  <c r="O136"/>
  <c r="O214"/>
  <c r="P214"/>
  <c r="S214"/>
  <c r="N305"/>
  <c r="O305"/>
  <c r="J86"/>
  <c r="J88"/>
  <c r="P88" s="1"/>
  <c r="J114"/>
  <c r="J77"/>
  <c r="M264"/>
  <c r="Q23"/>
  <c r="P31"/>
  <c r="O94"/>
  <c r="M185"/>
  <c r="T196"/>
  <c r="J222"/>
  <c r="P225"/>
  <c r="P254"/>
  <c r="J277"/>
  <c r="P311"/>
  <c r="J32"/>
  <c r="N32"/>
  <c r="Q237"/>
  <c r="H236"/>
  <c r="N34"/>
  <c r="O34"/>
  <c r="H66"/>
  <c r="O113"/>
  <c r="P113"/>
  <c r="S113"/>
  <c r="O166"/>
  <c r="S166"/>
  <c r="P283"/>
  <c r="Q283"/>
  <c r="S16"/>
  <c r="N9"/>
  <c r="N8" s="1"/>
  <c r="P9"/>
  <c r="O9"/>
  <c r="J251"/>
  <c r="O251"/>
  <c r="N251"/>
  <c r="N281"/>
  <c r="J126"/>
  <c r="J298"/>
  <c r="G14"/>
  <c r="H159"/>
  <c r="Q159" s="1"/>
  <c r="H7"/>
  <c r="G7"/>
  <c r="O31"/>
  <c r="J34"/>
  <c r="J69"/>
  <c r="O82"/>
  <c r="O87"/>
  <c r="J92"/>
  <c r="P92" s="1"/>
  <c r="H111"/>
  <c r="J122"/>
  <c r="P133"/>
  <c r="J136"/>
  <c r="T158"/>
  <c r="J166"/>
  <c r="O225"/>
  <c r="P233"/>
  <c r="O248"/>
  <c r="O254"/>
  <c r="H263"/>
  <c r="N277"/>
  <c r="J305"/>
  <c r="P308"/>
  <c r="O311"/>
  <c r="O148"/>
  <c r="N148"/>
  <c r="P161"/>
  <c r="N161"/>
  <c r="N160" s="1"/>
  <c r="N159" s="1"/>
  <c r="O64"/>
  <c r="O79"/>
  <c r="N82"/>
  <c r="N87"/>
  <c r="O99"/>
  <c r="G111"/>
  <c r="T135"/>
  <c r="S171"/>
  <c r="O177"/>
  <c r="T198"/>
  <c r="N225"/>
  <c r="N248"/>
  <c r="G263"/>
  <c r="O269"/>
  <c r="O288"/>
  <c r="S305"/>
  <c r="N311"/>
  <c r="J208"/>
  <c r="T208" s="1"/>
  <c r="O208"/>
  <c r="N208"/>
  <c r="S180"/>
  <c r="T180"/>
  <c r="N262"/>
  <c r="O262"/>
  <c r="J319"/>
  <c r="J147"/>
  <c r="T147" s="1"/>
  <c r="M299"/>
  <c r="T142"/>
  <c r="H243"/>
  <c r="O27"/>
  <c r="S27"/>
  <c r="H286"/>
  <c r="J303"/>
  <c r="N303"/>
  <c r="O303"/>
  <c r="J70"/>
  <c r="N275"/>
  <c r="S313"/>
  <c r="N266"/>
  <c r="N264" s="1"/>
  <c r="N263" s="1"/>
  <c r="O266"/>
  <c r="S129"/>
  <c r="T129"/>
  <c r="J236"/>
  <c r="O36"/>
  <c r="P36"/>
  <c r="O71"/>
  <c r="S71"/>
  <c r="S192"/>
  <c r="G191"/>
  <c r="O279"/>
  <c r="S279"/>
  <c r="S233"/>
  <c r="T233"/>
  <c r="J317"/>
  <c r="O317"/>
  <c r="N317"/>
  <c r="J61"/>
  <c r="J98"/>
  <c r="P98" s="1"/>
  <c r="J170"/>
  <c r="J17"/>
  <c r="J81"/>
  <c r="T160"/>
  <c r="J82"/>
  <c r="T179"/>
  <c r="Q197"/>
  <c r="T199"/>
  <c r="S202"/>
  <c r="T207"/>
  <c r="H216"/>
  <c r="J262"/>
  <c r="O276"/>
  <c r="S22"/>
  <c r="H115"/>
  <c r="Q115" s="1"/>
  <c r="T116"/>
  <c r="T132"/>
  <c r="Q142"/>
  <c r="N168"/>
  <c r="P197"/>
  <c r="G216"/>
  <c r="N218"/>
  <c r="N238"/>
  <c r="N237" s="1"/>
  <c r="N236" s="1"/>
  <c r="S242"/>
  <c r="N245"/>
  <c r="P256"/>
  <c r="S262"/>
  <c r="J279"/>
  <c r="P279" s="1"/>
  <c r="N285"/>
  <c r="J288"/>
  <c r="N293"/>
  <c r="N292" s="1"/>
  <c r="G299"/>
  <c r="Q320"/>
  <c r="J210"/>
  <c r="T210" s="1"/>
  <c r="S50"/>
  <c r="N322"/>
  <c r="O322"/>
  <c r="P322"/>
  <c r="S322"/>
  <c r="N171"/>
  <c r="O171"/>
  <c r="T203"/>
  <c r="S203"/>
  <c r="O11"/>
  <c r="N11"/>
  <c r="S18"/>
  <c r="O96"/>
  <c r="S96"/>
  <c r="N117"/>
  <c r="N116" s="1"/>
  <c r="N115" s="1"/>
  <c r="P117"/>
  <c r="O117"/>
  <c r="N127"/>
  <c r="O127"/>
  <c r="O25"/>
  <c r="N25"/>
  <c r="O73"/>
  <c r="S73"/>
  <c r="N150"/>
  <c r="P150"/>
  <c r="O150"/>
  <c r="N253"/>
  <c r="O253"/>
  <c r="P253"/>
  <c r="G268"/>
  <c r="S269"/>
  <c r="T269"/>
  <c r="N307"/>
  <c r="O307"/>
  <c r="G319"/>
  <c r="T320"/>
  <c r="T271"/>
  <c r="S271"/>
  <c r="G270"/>
  <c r="J301"/>
  <c r="O301"/>
  <c r="N301"/>
  <c r="M274"/>
  <c r="S274" s="1"/>
  <c r="S256"/>
  <c r="H39"/>
  <c r="J71"/>
  <c r="P71" s="1"/>
  <c r="M75"/>
  <c r="S75" s="1"/>
  <c r="S142"/>
  <c r="P160"/>
  <c r="M8"/>
  <c r="J76"/>
  <c r="S78"/>
  <c r="J96"/>
  <c r="G115"/>
  <c r="Q199"/>
  <c r="M212"/>
  <c r="O256"/>
  <c r="I274"/>
  <c r="I273" s="1"/>
  <c r="I267" s="1"/>
  <c r="I239" s="1"/>
  <c r="N279"/>
  <c r="P310"/>
  <c r="L7"/>
  <c r="H13"/>
  <c r="J25"/>
  <c r="M59"/>
  <c r="O61"/>
  <c r="O86"/>
  <c r="O98"/>
  <c r="O142"/>
  <c r="M160"/>
  <c r="S160" s="1"/>
  <c r="S176"/>
  <c r="S253"/>
  <c r="J307"/>
  <c r="T307" s="1"/>
  <c r="O310"/>
  <c r="S323"/>
  <c r="O314"/>
  <c r="P323"/>
  <c r="M320"/>
  <c r="S320" s="1"/>
  <c r="J184" i="89"/>
  <c r="J185"/>
  <c r="J186"/>
  <c r="J187"/>
  <c r="J188"/>
  <c r="J189"/>
  <c r="J190"/>
  <c r="J183"/>
  <c r="J157"/>
  <c r="J158"/>
  <c r="J159"/>
  <c r="J160"/>
  <c r="J161"/>
  <c r="J162"/>
  <c r="J163"/>
  <c r="J156"/>
  <c r="K42"/>
  <c r="L42"/>
  <c r="K43"/>
  <c r="L43"/>
  <c r="J144"/>
  <c r="P5" i="92" l="1"/>
  <c r="Q5"/>
  <c r="P285" i="90"/>
  <c r="Q285"/>
  <c r="T27"/>
  <c r="P27"/>
  <c r="N54"/>
  <c r="N55"/>
  <c r="N52"/>
  <c r="J52"/>
  <c r="P52" s="1"/>
  <c r="Q65"/>
  <c r="J55"/>
  <c r="P55" s="1"/>
  <c r="Q64"/>
  <c r="J54"/>
  <c r="P54" s="1"/>
  <c r="J63"/>
  <c r="M53"/>
  <c r="O53" s="1"/>
  <c r="Q61"/>
  <c r="J51"/>
  <c r="P51" s="1"/>
  <c r="N51"/>
  <c r="N50"/>
  <c r="Q60"/>
  <c r="J50"/>
  <c r="P50" s="1"/>
  <c r="N59"/>
  <c r="N49" s="1"/>
  <c r="M49"/>
  <c r="T204"/>
  <c r="P204"/>
  <c r="Q204"/>
  <c r="N320"/>
  <c r="N319" s="1"/>
  <c r="O67"/>
  <c r="Q95"/>
  <c r="S67"/>
  <c r="N111"/>
  <c r="S35"/>
  <c r="P79"/>
  <c r="P35"/>
  <c r="P320"/>
  <c r="N270"/>
  <c r="P272"/>
  <c r="Q272"/>
  <c r="J270"/>
  <c r="Q270" s="1"/>
  <c r="P314"/>
  <c r="J299"/>
  <c r="T299" s="1"/>
  <c r="N299"/>
  <c r="N291" s="1"/>
  <c r="O287"/>
  <c r="O286" s="1"/>
  <c r="S287"/>
  <c r="Q279"/>
  <c r="N274"/>
  <c r="N273" s="1"/>
  <c r="Q281"/>
  <c r="Q213"/>
  <c r="J212"/>
  <c r="P213"/>
  <c r="J141"/>
  <c r="T141" s="1"/>
  <c r="Q148"/>
  <c r="T148"/>
  <c r="Q168"/>
  <c r="S237"/>
  <c r="P236"/>
  <c r="P237"/>
  <c r="M236"/>
  <c r="S236" s="1"/>
  <c r="H47"/>
  <c r="H46" s="1"/>
  <c r="Q100"/>
  <c r="Q94"/>
  <c r="P97"/>
  <c r="Q97"/>
  <c r="J93"/>
  <c r="Q93" s="1"/>
  <c r="Q98"/>
  <c r="N93"/>
  <c r="N84"/>
  <c r="Q92"/>
  <c r="P85"/>
  <c r="Q85"/>
  <c r="N75"/>
  <c r="Q72"/>
  <c r="Q67"/>
  <c r="N67"/>
  <c r="N66" s="1"/>
  <c r="M66"/>
  <c r="S66" s="1"/>
  <c r="J66"/>
  <c r="Q71"/>
  <c r="S63"/>
  <c r="N63"/>
  <c r="N53" s="1"/>
  <c r="O63"/>
  <c r="P60"/>
  <c r="P64"/>
  <c r="L6"/>
  <c r="L5" s="1"/>
  <c r="S116"/>
  <c r="P116"/>
  <c r="M115"/>
  <c r="P115" s="1"/>
  <c r="P44"/>
  <c r="Q44"/>
  <c r="M42"/>
  <c r="O43"/>
  <c r="S43"/>
  <c r="P16"/>
  <c r="T16"/>
  <c r="Q28"/>
  <c r="T28"/>
  <c r="Q33"/>
  <c r="Q15"/>
  <c r="T15"/>
  <c r="N14"/>
  <c r="N13" s="1"/>
  <c r="J14"/>
  <c r="T14" s="1"/>
  <c r="Q20"/>
  <c r="P182"/>
  <c r="Q182"/>
  <c r="P86"/>
  <c r="J84"/>
  <c r="P157"/>
  <c r="T157"/>
  <c r="Q157"/>
  <c r="P165"/>
  <c r="Q165"/>
  <c r="J164"/>
  <c r="P121"/>
  <c r="Q121"/>
  <c r="T121"/>
  <c r="J120"/>
  <c r="Q246"/>
  <c r="P246"/>
  <c r="J244"/>
  <c r="Q86"/>
  <c r="Q42"/>
  <c r="P303"/>
  <c r="Q303"/>
  <c r="Q277"/>
  <c r="P277"/>
  <c r="P304"/>
  <c r="Q304"/>
  <c r="O120"/>
  <c r="M119"/>
  <c r="S119" s="1"/>
  <c r="Q268"/>
  <c r="P268"/>
  <c r="N164"/>
  <c r="N163" s="1"/>
  <c r="N162" s="1"/>
  <c r="I47"/>
  <c r="I46" s="1"/>
  <c r="I45" s="1"/>
  <c r="I6" s="1"/>
  <c r="I5" s="1"/>
  <c r="P76"/>
  <c r="Q76"/>
  <c r="J75"/>
  <c r="P62"/>
  <c r="Q62"/>
  <c r="M243"/>
  <c r="O244"/>
  <c r="N244"/>
  <c r="N243" s="1"/>
  <c r="S55"/>
  <c r="P264"/>
  <c r="J263"/>
  <c r="P263" s="1"/>
  <c r="P301"/>
  <c r="Q301"/>
  <c r="P297"/>
  <c r="Q297"/>
  <c r="T297"/>
  <c r="P96"/>
  <c r="Q96"/>
  <c r="M273"/>
  <c r="O274"/>
  <c r="Q34"/>
  <c r="P34"/>
  <c r="T34"/>
  <c r="P32"/>
  <c r="T32"/>
  <c r="Q32"/>
  <c r="S54"/>
  <c r="O54"/>
  <c r="H267"/>
  <c r="P89"/>
  <c r="Q89"/>
  <c r="Q228"/>
  <c r="T228"/>
  <c r="P228"/>
  <c r="N217"/>
  <c r="N216" s="1"/>
  <c r="N215" s="1"/>
  <c r="Q91"/>
  <c r="P91"/>
  <c r="P82"/>
  <c r="Q82"/>
  <c r="P202"/>
  <c r="Q202"/>
  <c r="T202"/>
  <c r="P147"/>
  <c r="Q147"/>
  <c r="O112"/>
  <c r="M111"/>
  <c r="O111" s="1"/>
  <c r="M291"/>
  <c r="O299"/>
  <c r="P69"/>
  <c r="P114"/>
  <c r="J112"/>
  <c r="Q114"/>
  <c r="M57"/>
  <c r="J58"/>
  <c r="J48" s="1"/>
  <c r="N58"/>
  <c r="S58"/>
  <c r="O58"/>
  <c r="T115"/>
  <c r="P70"/>
  <c r="Q70"/>
  <c r="Q305"/>
  <c r="P305"/>
  <c r="T305"/>
  <c r="P251"/>
  <c r="Q251"/>
  <c r="M13"/>
  <c r="O13" s="1"/>
  <c r="O14"/>
  <c r="Q18"/>
  <c r="P18"/>
  <c r="Q74"/>
  <c r="P74"/>
  <c r="N120"/>
  <c r="N119" s="1"/>
  <c r="N118" s="1"/>
  <c r="N35"/>
  <c r="T35"/>
  <c r="Q264"/>
  <c r="Q25"/>
  <c r="T25"/>
  <c r="P25"/>
  <c r="P224"/>
  <c r="Q224"/>
  <c r="T224"/>
  <c r="M7"/>
  <c r="O8"/>
  <c r="J40"/>
  <c r="P41"/>
  <c r="Q41"/>
  <c r="T41"/>
  <c r="P124"/>
  <c r="Q124"/>
  <c r="P12"/>
  <c r="T12"/>
  <c r="J10"/>
  <c r="Q12"/>
  <c r="P166"/>
  <c r="Q166"/>
  <c r="P313"/>
  <c r="Q313"/>
  <c r="T313"/>
  <c r="S111"/>
  <c r="T235"/>
  <c r="P235"/>
  <c r="Q235"/>
  <c r="G215"/>
  <c r="P125"/>
  <c r="Q125"/>
  <c r="T125"/>
  <c r="Q186"/>
  <c r="J185"/>
  <c r="P186"/>
  <c r="Q77"/>
  <c r="P77"/>
  <c r="G118"/>
  <c r="P262"/>
  <c r="Q262"/>
  <c r="T262"/>
  <c r="O51"/>
  <c r="S51"/>
  <c r="P220"/>
  <c r="Q220"/>
  <c r="T220"/>
  <c r="P38"/>
  <c r="Q38"/>
  <c r="P138"/>
  <c r="Q138"/>
  <c r="O191"/>
  <c r="M190"/>
  <c r="Q35"/>
  <c r="Q69"/>
  <c r="S120"/>
  <c r="T18"/>
  <c r="Q68"/>
  <c r="Q17"/>
  <c r="T17"/>
  <c r="P17"/>
  <c r="P210"/>
  <c r="Q210"/>
  <c r="S270"/>
  <c r="P22"/>
  <c r="Q22"/>
  <c r="S244"/>
  <c r="G243"/>
  <c r="M159"/>
  <c r="O160"/>
  <c r="S191"/>
  <c r="G190"/>
  <c r="Q319"/>
  <c r="P229"/>
  <c r="T229"/>
  <c r="Q229"/>
  <c r="O52"/>
  <c r="S52"/>
  <c r="P101"/>
  <c r="Q101"/>
  <c r="Q306"/>
  <c r="T306"/>
  <c r="P306"/>
  <c r="P80"/>
  <c r="Q80"/>
  <c r="J241"/>
  <c r="P242"/>
  <c r="Q242"/>
  <c r="P282"/>
  <c r="Q282"/>
  <c r="O212"/>
  <c r="M211"/>
  <c r="S211" s="1"/>
  <c r="S212"/>
  <c r="P317"/>
  <c r="Q317"/>
  <c r="T317"/>
  <c r="T312"/>
  <c r="Q312"/>
  <c r="P312"/>
  <c r="P221"/>
  <c r="Q221"/>
  <c r="O264"/>
  <c r="M263"/>
  <c r="S263" s="1"/>
  <c r="O66"/>
  <c r="P288"/>
  <c r="Q288"/>
  <c r="T288"/>
  <c r="J287"/>
  <c r="P61"/>
  <c r="P122"/>
  <c r="Q122"/>
  <c r="T126"/>
  <c r="P126"/>
  <c r="Q126"/>
  <c r="H118"/>
  <c r="P275"/>
  <c r="J274"/>
  <c r="Q275"/>
  <c r="P250"/>
  <c r="Q250"/>
  <c r="N10"/>
  <c r="N7" s="1"/>
  <c r="T264"/>
  <c r="S10"/>
  <c r="N141"/>
  <c r="N140" s="1"/>
  <c r="N139" s="1"/>
  <c r="P8"/>
  <c r="S8"/>
  <c r="Q81"/>
  <c r="P81"/>
  <c r="P255"/>
  <c r="Q255"/>
  <c r="T255"/>
  <c r="S59"/>
  <c r="O59"/>
  <c r="J59"/>
  <c r="J49" s="1"/>
  <c r="Q222"/>
  <c r="P222"/>
  <c r="T222"/>
  <c r="O164"/>
  <c r="M163"/>
  <c r="P192"/>
  <c r="Q192"/>
  <c r="J191"/>
  <c r="T298"/>
  <c r="P298"/>
  <c r="Q298"/>
  <c r="S286"/>
  <c r="M140"/>
  <c r="S140" s="1"/>
  <c r="O141"/>
  <c r="P172"/>
  <c r="T172"/>
  <c r="Q172"/>
  <c r="Q90"/>
  <c r="M216"/>
  <c r="S216" s="1"/>
  <c r="O217"/>
  <c r="P260"/>
  <c r="Q260"/>
  <c r="H162"/>
  <c r="Q294"/>
  <c r="T294"/>
  <c r="P294"/>
  <c r="P307"/>
  <c r="Q307"/>
  <c r="T268"/>
  <c r="G267"/>
  <c r="S268"/>
  <c r="H215"/>
  <c r="Q194"/>
  <c r="T194"/>
  <c r="P194"/>
  <c r="P65"/>
  <c r="G139"/>
  <c r="G45"/>
  <c r="O320"/>
  <c r="M319"/>
  <c r="O319" s="1"/>
  <c r="G291"/>
  <c r="S299"/>
  <c r="P136"/>
  <c r="Q136"/>
  <c r="T136"/>
  <c r="P146"/>
  <c r="Q146"/>
  <c r="T146"/>
  <c r="Q249"/>
  <c r="T249"/>
  <c r="P249"/>
  <c r="P219"/>
  <c r="J217"/>
  <c r="Q219"/>
  <c r="O50"/>
  <c r="N191"/>
  <c r="N190" s="1"/>
  <c r="N189" s="1"/>
  <c r="H139"/>
  <c r="Q236"/>
  <c r="O84"/>
  <c r="T304"/>
  <c r="O93"/>
  <c r="Q88"/>
  <c r="P170"/>
  <c r="Q170"/>
  <c r="T170"/>
  <c r="P208"/>
  <c r="Q208"/>
  <c r="S14"/>
  <c r="G13"/>
  <c r="M184"/>
  <c r="S184" s="1"/>
  <c r="S185"/>
  <c r="O185"/>
  <c r="G163"/>
  <c r="S164"/>
  <c r="O40"/>
  <c r="M39"/>
  <c r="P302"/>
  <c r="Q302"/>
  <c r="T302"/>
  <c r="P143"/>
  <c r="Q143"/>
  <c r="K134" i="89"/>
  <c r="K135"/>
  <c r="K136"/>
  <c r="K137"/>
  <c r="K138"/>
  <c r="K139"/>
  <c r="K140"/>
  <c r="K141"/>
  <c r="K142"/>
  <c r="K143"/>
  <c r="K144"/>
  <c r="K145"/>
  <c r="K146"/>
  <c r="K147"/>
  <c r="K148"/>
  <c r="K149"/>
  <c r="K133"/>
  <c r="N48" i="90" l="1"/>
  <c r="N47" s="1"/>
  <c r="N46" s="1"/>
  <c r="N45" s="1"/>
  <c r="N6" s="1"/>
  <c r="Q63"/>
  <c r="J53"/>
  <c r="Q53" s="1"/>
  <c r="P63"/>
  <c r="P270"/>
  <c r="S115"/>
  <c r="N290"/>
  <c r="P319"/>
  <c r="N267"/>
  <c r="N239" s="1"/>
  <c r="T270"/>
  <c r="J291"/>
  <c r="J290" s="1"/>
  <c r="P299"/>
  <c r="Q299"/>
  <c r="Q212"/>
  <c r="T212"/>
  <c r="J211"/>
  <c r="Q211" s="1"/>
  <c r="P212"/>
  <c r="Q141"/>
  <c r="J140"/>
  <c r="T140" s="1"/>
  <c r="P141"/>
  <c r="P93"/>
  <c r="P66"/>
  <c r="Q66"/>
  <c r="Q51"/>
  <c r="S53"/>
  <c r="Q55"/>
  <c r="O42"/>
  <c r="S42"/>
  <c r="P42"/>
  <c r="P14"/>
  <c r="J13"/>
  <c r="P13" s="1"/>
  <c r="Q14"/>
  <c r="S13"/>
  <c r="G290"/>
  <c r="S291"/>
  <c r="O291"/>
  <c r="M290"/>
  <c r="O290" s="1"/>
  <c r="J216"/>
  <c r="P217"/>
  <c r="T217"/>
  <c r="Q217"/>
  <c r="O119"/>
  <c r="M118"/>
  <c r="O118" s="1"/>
  <c r="Q191"/>
  <c r="J190"/>
  <c r="T190" s="1"/>
  <c r="P191"/>
  <c r="G162"/>
  <c r="S163"/>
  <c r="O7"/>
  <c r="O39"/>
  <c r="S39"/>
  <c r="O273"/>
  <c r="M267"/>
  <c r="O267" s="1"/>
  <c r="O140"/>
  <c r="M139"/>
  <c r="O139" s="1"/>
  <c r="O57"/>
  <c r="S57"/>
  <c r="T191"/>
  <c r="S319"/>
  <c r="Q54"/>
  <c r="S190"/>
  <c r="G189"/>
  <c r="P164"/>
  <c r="J163"/>
  <c r="T163" s="1"/>
  <c r="Q164"/>
  <c r="J119"/>
  <c r="P120"/>
  <c r="Q120"/>
  <c r="T120"/>
  <c r="P40"/>
  <c r="J39"/>
  <c r="T40"/>
  <c r="Q40"/>
  <c r="P112"/>
  <c r="J111"/>
  <c r="T112"/>
  <c r="Q112"/>
  <c r="P59"/>
  <c r="Q59"/>
  <c r="M47"/>
  <c r="O48"/>
  <c r="S48"/>
  <c r="Q263"/>
  <c r="M189"/>
  <c r="O189" s="1"/>
  <c r="O190"/>
  <c r="T185"/>
  <c r="P185"/>
  <c r="Q185"/>
  <c r="J184"/>
  <c r="Q58"/>
  <c r="P58"/>
  <c r="J57"/>
  <c r="P84"/>
  <c r="Q84"/>
  <c r="Q50"/>
  <c r="H239"/>
  <c r="S159"/>
  <c r="P159"/>
  <c r="P287"/>
  <c r="J286"/>
  <c r="T287"/>
  <c r="Q287"/>
  <c r="H45"/>
  <c r="P244"/>
  <c r="J243"/>
  <c r="T243" s="1"/>
  <c r="Q244"/>
  <c r="P75"/>
  <c r="Q75"/>
  <c r="P274"/>
  <c r="J273"/>
  <c r="T274"/>
  <c r="Q274"/>
  <c r="P10"/>
  <c r="J7"/>
  <c r="Q10"/>
  <c r="T10"/>
  <c r="N57"/>
  <c r="O243"/>
  <c r="T164"/>
  <c r="S273"/>
  <c r="Q52"/>
  <c r="G6"/>
  <c r="O163"/>
  <c r="M162"/>
  <c r="O162" s="1"/>
  <c r="O49"/>
  <c r="S49"/>
  <c r="O216"/>
  <c r="M215"/>
  <c r="O215" s="1"/>
  <c r="J240"/>
  <c r="Q241"/>
  <c r="P241"/>
  <c r="S243"/>
  <c r="G239"/>
  <c r="T244"/>
  <c r="S7"/>
  <c r="G149" i="89"/>
  <c r="G147"/>
  <c r="G141"/>
  <c r="P53" i="90" l="1"/>
  <c r="T291"/>
  <c r="P291"/>
  <c r="Q291"/>
  <c r="P211"/>
  <c r="Q140"/>
  <c r="P140"/>
  <c r="J139"/>
  <c r="T139" s="1"/>
  <c r="S139"/>
  <c r="S215"/>
  <c r="T13"/>
  <c r="Q13"/>
  <c r="S189"/>
  <c r="O47"/>
  <c r="M46"/>
  <c r="S47"/>
  <c r="J47"/>
  <c r="Q48"/>
  <c r="P48"/>
  <c r="P163"/>
  <c r="J162"/>
  <c r="Q163"/>
  <c r="N5"/>
  <c r="H6"/>
  <c r="J189"/>
  <c r="T189" s="1"/>
  <c r="P190"/>
  <c r="Q190"/>
  <c r="P184"/>
  <c r="Q184"/>
  <c r="P49"/>
  <c r="Q49"/>
  <c r="G5"/>
  <c r="S162"/>
  <c r="T162"/>
  <c r="P57"/>
  <c r="Q57"/>
  <c r="P119"/>
  <c r="J118"/>
  <c r="Q119"/>
  <c r="T119"/>
  <c r="P273"/>
  <c r="J267"/>
  <c r="J239" s="1"/>
  <c r="T273"/>
  <c r="Q273"/>
  <c r="P7"/>
  <c r="Q7"/>
  <c r="P243"/>
  <c r="Q243"/>
  <c r="S290"/>
  <c r="T290"/>
  <c r="P216"/>
  <c r="J215"/>
  <c r="Q216"/>
  <c r="T216"/>
  <c r="P39"/>
  <c r="T39"/>
  <c r="Q39"/>
  <c r="S267"/>
  <c r="P240"/>
  <c r="Q240"/>
  <c r="P286"/>
  <c r="Q286"/>
  <c r="T286"/>
  <c r="P290"/>
  <c r="Q290"/>
  <c r="P111"/>
  <c r="Q111"/>
  <c r="T111"/>
  <c r="M239"/>
  <c r="O239" s="1"/>
  <c r="S118"/>
  <c r="J125" i="89"/>
  <c r="G125"/>
  <c r="G122"/>
  <c r="H85"/>
  <c r="H48" s="1"/>
  <c r="H47" s="1"/>
  <c r="I85"/>
  <c r="I48" s="1"/>
  <c r="H49"/>
  <c r="H50"/>
  <c r="H51"/>
  <c r="H52"/>
  <c r="H53"/>
  <c r="H54"/>
  <c r="H55"/>
  <c r="I98"/>
  <c r="H98"/>
  <c r="H100"/>
  <c r="H94"/>
  <c r="H91"/>
  <c r="H89"/>
  <c r="H88"/>
  <c r="H87"/>
  <c r="I82"/>
  <c r="H74"/>
  <c r="H73"/>
  <c r="H72"/>
  <c r="H71"/>
  <c r="H70"/>
  <c r="H69"/>
  <c r="H68"/>
  <c r="H67"/>
  <c r="H65"/>
  <c r="H64"/>
  <c r="H63"/>
  <c r="H62"/>
  <c r="H61"/>
  <c r="H60"/>
  <c r="H59"/>
  <c r="H58"/>
  <c r="H272"/>
  <c r="H271"/>
  <c r="H270"/>
  <c r="H267"/>
  <c r="H266"/>
  <c r="H311"/>
  <c r="I311"/>
  <c r="J311"/>
  <c r="K311"/>
  <c r="L311"/>
  <c r="G311"/>
  <c r="O313"/>
  <c r="J297"/>
  <c r="M304"/>
  <c r="J304" s="1"/>
  <c r="M305"/>
  <c r="J305" s="1"/>
  <c r="G301"/>
  <c r="G300"/>
  <c r="G299"/>
  <c r="G209"/>
  <c r="T239" i="90" l="1"/>
  <c r="Q239"/>
  <c r="Q139"/>
  <c r="P139"/>
  <c r="P215"/>
  <c r="T215"/>
  <c r="Q215"/>
  <c r="M45"/>
  <c r="O46"/>
  <c r="S46"/>
  <c r="P47"/>
  <c r="J46"/>
  <c r="Q47"/>
  <c r="P267"/>
  <c r="Q267"/>
  <c r="T267"/>
  <c r="P118"/>
  <c r="Q118"/>
  <c r="T118"/>
  <c r="P162"/>
  <c r="Q162"/>
  <c r="H5"/>
  <c r="P189"/>
  <c r="Q189"/>
  <c r="P239"/>
  <c r="S239"/>
  <c r="Q304" i="89"/>
  <c r="P304"/>
  <c r="Q305"/>
  <c r="P305"/>
  <c r="N304"/>
  <c r="O304"/>
  <c r="S304"/>
  <c r="N305"/>
  <c r="O305"/>
  <c r="S305"/>
  <c r="O45" i="90" l="1"/>
  <c r="S45"/>
  <c r="M6"/>
  <c r="J45"/>
  <c r="P46"/>
  <c r="Q46"/>
  <c r="G199" i="89"/>
  <c r="G190"/>
  <c r="G188"/>
  <c r="G187"/>
  <c r="G200"/>
  <c r="K313"/>
  <c r="K312"/>
  <c r="K292"/>
  <c r="K293"/>
  <c r="K294"/>
  <c r="K295"/>
  <c r="K296"/>
  <c r="K297"/>
  <c r="K298"/>
  <c r="K299"/>
  <c r="K300"/>
  <c r="K301"/>
  <c r="K302"/>
  <c r="K303"/>
  <c r="K304"/>
  <c r="K306"/>
  <c r="K307"/>
  <c r="K308"/>
  <c r="K309"/>
  <c r="K291"/>
  <c r="K280"/>
  <c r="K279"/>
  <c r="Q276"/>
  <c r="K267"/>
  <c r="K268"/>
  <c r="K269"/>
  <c r="K270"/>
  <c r="K271"/>
  <c r="K272"/>
  <c r="K273"/>
  <c r="K274"/>
  <c r="K275"/>
  <c r="K276"/>
  <c r="M276" s="1"/>
  <c r="S276" s="1"/>
  <c r="K266"/>
  <c r="K263"/>
  <c r="K262"/>
  <c r="K260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36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09"/>
  <c r="K205"/>
  <c r="K204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183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56"/>
  <c r="P45" i="90" l="1"/>
  <c r="T45"/>
  <c r="J6"/>
  <c r="Q45"/>
  <c r="O6"/>
  <c r="M5"/>
  <c r="S6"/>
  <c r="K310" i="89"/>
  <c r="N276"/>
  <c r="O276"/>
  <c r="P276"/>
  <c r="P6" i="90" l="1"/>
  <c r="J5"/>
  <c r="Q6"/>
  <c r="O5"/>
  <c r="S5"/>
  <c r="K113" i="89"/>
  <c r="K114"/>
  <c r="K115"/>
  <c r="K116"/>
  <c r="K117"/>
  <c r="K118"/>
  <c r="K119"/>
  <c r="K120"/>
  <c r="K121"/>
  <c r="K122"/>
  <c r="K123"/>
  <c r="K124"/>
  <c r="K125"/>
  <c r="K126"/>
  <c r="K127"/>
  <c r="K128"/>
  <c r="K129"/>
  <c r="K112"/>
  <c r="K108"/>
  <c r="K105"/>
  <c r="K104"/>
  <c r="P5" i="90" l="1"/>
  <c r="Q5"/>
  <c r="K95" i="89"/>
  <c r="K96"/>
  <c r="K97"/>
  <c r="K98"/>
  <c r="K99"/>
  <c r="K100"/>
  <c r="K101"/>
  <c r="K94"/>
  <c r="K86"/>
  <c r="K87"/>
  <c r="K88"/>
  <c r="K89"/>
  <c r="K90"/>
  <c r="K91"/>
  <c r="K92"/>
  <c r="K85"/>
  <c r="K77"/>
  <c r="K78"/>
  <c r="K79"/>
  <c r="K80"/>
  <c r="K81"/>
  <c r="K82"/>
  <c r="K83"/>
  <c r="K76"/>
  <c r="K68"/>
  <c r="K69"/>
  <c r="K70"/>
  <c r="K71"/>
  <c r="K72"/>
  <c r="K73"/>
  <c r="K74"/>
  <c r="K67"/>
  <c r="K59"/>
  <c r="K60"/>
  <c r="K61"/>
  <c r="K62"/>
  <c r="K63"/>
  <c r="K64"/>
  <c r="K65"/>
  <c r="K58"/>
  <c r="K44"/>
  <c r="K41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15"/>
  <c r="K12"/>
  <c r="K11"/>
  <c r="K9"/>
  <c r="S314" l="1"/>
  <c r="Q314"/>
  <c r="P314"/>
  <c r="O314"/>
  <c r="N314"/>
  <c r="M314"/>
  <c r="S313"/>
  <c r="Q313"/>
  <c r="M313"/>
  <c r="N313" s="1"/>
  <c r="Q312"/>
  <c r="M312"/>
  <c r="G312"/>
  <c r="Q311"/>
  <c r="J310"/>
  <c r="I310"/>
  <c r="H310"/>
  <c r="G310"/>
  <c r="N309"/>
  <c r="M309"/>
  <c r="J309" s="1"/>
  <c r="S308"/>
  <c r="O308"/>
  <c r="N308"/>
  <c r="M308"/>
  <c r="J308" s="1"/>
  <c r="T307"/>
  <c r="Q307"/>
  <c r="M307"/>
  <c r="Q306"/>
  <c r="M306"/>
  <c r="M303"/>
  <c r="T302"/>
  <c r="Q302"/>
  <c r="M302"/>
  <c r="N302" s="1"/>
  <c r="T301"/>
  <c r="Q301"/>
  <c r="M301"/>
  <c r="N301" s="1"/>
  <c r="M300"/>
  <c r="Q299"/>
  <c r="P299"/>
  <c r="O299"/>
  <c r="N299"/>
  <c r="M299"/>
  <c r="T298"/>
  <c r="Q298"/>
  <c r="M298"/>
  <c r="J298" s="1"/>
  <c r="G298"/>
  <c r="M297"/>
  <c r="O297" s="1"/>
  <c r="M296"/>
  <c r="J296" s="1"/>
  <c r="G296"/>
  <c r="M295"/>
  <c r="G295"/>
  <c r="M294"/>
  <c r="G294"/>
  <c r="M293"/>
  <c r="G293"/>
  <c r="S292"/>
  <c r="O292"/>
  <c r="N292"/>
  <c r="M292"/>
  <c r="J292" s="1"/>
  <c r="M291"/>
  <c r="G291"/>
  <c r="L290"/>
  <c r="L282" s="1"/>
  <c r="L281" s="1"/>
  <c r="K290"/>
  <c r="I290"/>
  <c r="I282" s="1"/>
  <c r="H290"/>
  <c r="H282" s="1"/>
  <c r="M289"/>
  <c r="K289"/>
  <c r="K288"/>
  <c r="M288" s="1"/>
  <c r="M287"/>
  <c r="N287" s="1"/>
  <c r="K287"/>
  <c r="S286"/>
  <c r="M286"/>
  <c r="J286" s="1"/>
  <c r="K286"/>
  <c r="S285"/>
  <c r="O285"/>
  <c r="M285"/>
  <c r="J285" s="1"/>
  <c r="K285"/>
  <c r="K284"/>
  <c r="M284" s="1"/>
  <c r="L283"/>
  <c r="K283"/>
  <c r="I283"/>
  <c r="H283"/>
  <c r="G283"/>
  <c r="K282"/>
  <c r="K281"/>
  <c r="M280"/>
  <c r="J280" s="1"/>
  <c r="M279"/>
  <c r="K278"/>
  <c r="K277" s="1"/>
  <c r="G279"/>
  <c r="L278"/>
  <c r="I278"/>
  <c r="H278"/>
  <c r="H277" s="1"/>
  <c r="L277"/>
  <c r="I277"/>
  <c r="S275"/>
  <c r="O275"/>
  <c r="M275"/>
  <c r="J275" s="1"/>
  <c r="G275"/>
  <c r="N274"/>
  <c r="M274"/>
  <c r="S274" s="1"/>
  <c r="M273"/>
  <c r="J273" s="1"/>
  <c r="G273"/>
  <c r="M272"/>
  <c r="P272" s="1"/>
  <c r="G272"/>
  <c r="G265" s="1"/>
  <c r="M271"/>
  <c r="I271"/>
  <c r="O270"/>
  <c r="N270"/>
  <c r="M270"/>
  <c r="S270" s="1"/>
  <c r="I270"/>
  <c r="M269"/>
  <c r="I269"/>
  <c r="M268"/>
  <c r="S268" s="1"/>
  <c r="I268"/>
  <c r="M267"/>
  <c r="S267" s="1"/>
  <c r="I267"/>
  <c r="M266"/>
  <c r="O266" s="1"/>
  <c r="K264"/>
  <c r="I266"/>
  <c r="L265"/>
  <c r="L264" s="1"/>
  <c r="M263"/>
  <c r="T262"/>
  <c r="S262"/>
  <c r="Q262"/>
  <c r="P262"/>
  <c r="M262"/>
  <c r="K261"/>
  <c r="G262"/>
  <c r="L261"/>
  <c r="I261"/>
  <c r="H261"/>
  <c r="G261"/>
  <c r="M260"/>
  <c r="G260"/>
  <c r="L259"/>
  <c r="K259"/>
  <c r="I259"/>
  <c r="H259"/>
  <c r="G259"/>
  <c r="M257"/>
  <c r="S257" s="1"/>
  <c r="K257"/>
  <c r="S256"/>
  <c r="Q256"/>
  <c r="P256"/>
  <c r="M256"/>
  <c r="N256" s="1"/>
  <c r="K256"/>
  <c r="G256"/>
  <c r="M255"/>
  <c r="L255"/>
  <c r="L254" s="1"/>
  <c r="K255"/>
  <c r="I255"/>
  <c r="I254" s="1"/>
  <c r="H255"/>
  <c r="G255"/>
  <c r="G254" s="1"/>
  <c r="K254"/>
  <c r="O253"/>
  <c r="N253"/>
  <c r="M253"/>
  <c r="J253" s="1"/>
  <c r="G253"/>
  <c r="M252"/>
  <c r="J252" s="1"/>
  <c r="G252"/>
  <c r="M251"/>
  <c r="S251" s="1"/>
  <c r="S250"/>
  <c r="M250"/>
  <c r="J250" s="1"/>
  <c r="P250" s="1"/>
  <c r="G250"/>
  <c r="Q249"/>
  <c r="N249"/>
  <c r="M249"/>
  <c r="O249" s="1"/>
  <c r="G249"/>
  <c r="T249" s="1"/>
  <c r="T248"/>
  <c r="Q248"/>
  <c r="M248"/>
  <c r="N248" s="1"/>
  <c r="Q247"/>
  <c r="P247"/>
  <c r="M247"/>
  <c r="N247" s="1"/>
  <c r="G247"/>
  <c r="M246"/>
  <c r="J246" s="1"/>
  <c r="T245"/>
  <c r="Q245"/>
  <c r="P245"/>
  <c r="M245"/>
  <c r="N245" s="1"/>
  <c r="Q244"/>
  <c r="P244"/>
  <c r="O244"/>
  <c r="N244"/>
  <c r="M244"/>
  <c r="G244"/>
  <c r="M243"/>
  <c r="J243" s="1"/>
  <c r="G243"/>
  <c r="O242"/>
  <c r="N242"/>
  <c r="M242"/>
  <c r="S242" s="1"/>
  <c r="M241"/>
  <c r="J241" s="1"/>
  <c r="G241"/>
  <c r="N240"/>
  <c r="M240"/>
  <c r="O240" s="1"/>
  <c r="G240"/>
  <c r="M239"/>
  <c r="J239" s="1"/>
  <c r="G239"/>
  <c r="M238"/>
  <c r="K235"/>
  <c r="K234" s="1"/>
  <c r="M237"/>
  <c r="M236"/>
  <c r="G236"/>
  <c r="L235"/>
  <c r="L234" s="1"/>
  <c r="I235"/>
  <c r="I234" s="1"/>
  <c r="H235"/>
  <c r="H234" s="1"/>
  <c r="K233"/>
  <c r="M233" s="1"/>
  <c r="M232" s="1"/>
  <c r="L232"/>
  <c r="L231" s="1"/>
  <c r="K232"/>
  <c r="I232"/>
  <c r="I231" s="1"/>
  <c r="H232"/>
  <c r="H231" s="1"/>
  <c r="G232"/>
  <c r="G231" s="1"/>
  <c r="K231"/>
  <c r="K230"/>
  <c r="M229"/>
  <c r="L228"/>
  <c r="L227" s="1"/>
  <c r="I228"/>
  <c r="H228"/>
  <c r="G228"/>
  <c r="I227"/>
  <c r="H227"/>
  <c r="G227"/>
  <c r="M226"/>
  <c r="J226" s="1"/>
  <c r="M225"/>
  <c r="T224"/>
  <c r="Q224"/>
  <c r="M224"/>
  <c r="G224"/>
  <c r="T223"/>
  <c r="Q223"/>
  <c r="M223"/>
  <c r="T222"/>
  <c r="S222"/>
  <c r="Q222"/>
  <c r="M222"/>
  <c r="M221"/>
  <c r="J221" s="1"/>
  <c r="M220"/>
  <c r="S220" s="1"/>
  <c r="M219"/>
  <c r="O219" s="1"/>
  <c r="Q218"/>
  <c r="M218"/>
  <c r="G218"/>
  <c r="T217"/>
  <c r="Q217"/>
  <c r="M217"/>
  <c r="M216"/>
  <c r="S215"/>
  <c r="M215"/>
  <c r="J215" s="1"/>
  <c r="T215" s="1"/>
  <c r="O214"/>
  <c r="M214"/>
  <c r="J214" s="1"/>
  <c r="M213"/>
  <c r="S213" s="1"/>
  <c r="M212"/>
  <c r="M211"/>
  <c r="N211" s="1"/>
  <c r="M210"/>
  <c r="S209"/>
  <c r="M209"/>
  <c r="N209" s="1"/>
  <c r="L208"/>
  <c r="L207" s="1"/>
  <c r="L206" s="1"/>
  <c r="I208"/>
  <c r="I207" s="1"/>
  <c r="I206" s="1"/>
  <c r="H208"/>
  <c r="H207" s="1"/>
  <c r="H206" s="1"/>
  <c r="Q205"/>
  <c r="M205"/>
  <c r="S205" s="1"/>
  <c r="M204"/>
  <c r="L203"/>
  <c r="L202" s="1"/>
  <c r="K203"/>
  <c r="I203"/>
  <c r="I202" s="1"/>
  <c r="H203"/>
  <c r="G203"/>
  <c r="G202" s="1"/>
  <c r="K202"/>
  <c r="M201"/>
  <c r="S201" s="1"/>
  <c r="G201"/>
  <c r="O200"/>
  <c r="M200"/>
  <c r="J200" s="1"/>
  <c r="M199"/>
  <c r="T198"/>
  <c r="Q198"/>
  <c r="M198"/>
  <c r="G198"/>
  <c r="Q197"/>
  <c r="P197"/>
  <c r="M197"/>
  <c r="N197" s="1"/>
  <c r="G197"/>
  <c r="T196"/>
  <c r="S196"/>
  <c r="Q196"/>
  <c r="P196"/>
  <c r="N196"/>
  <c r="M196"/>
  <c r="O196" s="1"/>
  <c r="S195"/>
  <c r="O195"/>
  <c r="M195"/>
  <c r="Q194"/>
  <c r="M194"/>
  <c r="N194" s="1"/>
  <c r="G194"/>
  <c r="M193"/>
  <c r="J193" s="1"/>
  <c r="Q192"/>
  <c r="M192"/>
  <c r="N192" s="1"/>
  <c r="T191"/>
  <c r="Q191"/>
  <c r="M191"/>
  <c r="G191"/>
  <c r="M190"/>
  <c r="S189"/>
  <c r="N189"/>
  <c r="M189"/>
  <c r="G189"/>
  <c r="M188"/>
  <c r="M187"/>
  <c r="S186"/>
  <c r="O186"/>
  <c r="N186"/>
  <c r="M186"/>
  <c r="M185"/>
  <c r="S185" s="1"/>
  <c r="M184"/>
  <c r="M183"/>
  <c r="O183" s="1"/>
  <c r="K182"/>
  <c r="G183"/>
  <c r="G182" s="1"/>
  <c r="L182"/>
  <c r="L181" s="1"/>
  <c r="I182"/>
  <c r="I181" s="1"/>
  <c r="H182"/>
  <c r="H181" s="1"/>
  <c r="K181"/>
  <c r="M179"/>
  <c r="J179" s="1"/>
  <c r="K179"/>
  <c r="K178"/>
  <c r="M178" s="1"/>
  <c r="N177"/>
  <c r="M177"/>
  <c r="J177" s="1"/>
  <c r="K177"/>
  <c r="L176"/>
  <c r="L175" s="1"/>
  <c r="K176"/>
  <c r="I176"/>
  <c r="H176"/>
  <c r="G176"/>
  <c r="K175"/>
  <c r="I175"/>
  <c r="H175"/>
  <c r="G175"/>
  <c r="M174"/>
  <c r="G174"/>
  <c r="S173"/>
  <c r="M173"/>
  <c r="J173" s="1"/>
  <c r="M172"/>
  <c r="J172" s="1"/>
  <c r="Q171"/>
  <c r="P171"/>
  <c r="O171"/>
  <c r="N171"/>
  <c r="M171"/>
  <c r="G171"/>
  <c r="T170"/>
  <c r="Q170"/>
  <c r="M170"/>
  <c r="N170" s="1"/>
  <c r="G170"/>
  <c r="T169"/>
  <c r="Q169"/>
  <c r="O169"/>
  <c r="M169"/>
  <c r="P169" s="1"/>
  <c r="M168"/>
  <c r="J168" s="1"/>
  <c r="M167"/>
  <c r="T166"/>
  <c r="Q166"/>
  <c r="M166"/>
  <c r="M165"/>
  <c r="T164"/>
  <c r="Q164"/>
  <c r="M164"/>
  <c r="S164" s="1"/>
  <c r="M163"/>
  <c r="M162"/>
  <c r="S162" s="1"/>
  <c r="M161"/>
  <c r="Q161" s="1"/>
  <c r="M160"/>
  <c r="M159"/>
  <c r="M158"/>
  <c r="M157"/>
  <c r="S157" s="1"/>
  <c r="M156"/>
  <c r="N156" s="1"/>
  <c r="G156"/>
  <c r="L155"/>
  <c r="L154" s="1"/>
  <c r="I155"/>
  <c r="I154" s="1"/>
  <c r="I153" s="1"/>
  <c r="H155"/>
  <c r="H154" s="1"/>
  <c r="H153" s="1"/>
  <c r="K154"/>
  <c r="Q152"/>
  <c r="N152"/>
  <c r="N151" s="1"/>
  <c r="N150" s="1"/>
  <c r="M152"/>
  <c r="K152"/>
  <c r="T151"/>
  <c r="L151"/>
  <c r="K151"/>
  <c r="J151"/>
  <c r="I151"/>
  <c r="H151"/>
  <c r="Q151" s="1"/>
  <c r="G151"/>
  <c r="L150"/>
  <c r="K150"/>
  <c r="J150"/>
  <c r="I150"/>
  <c r="G150"/>
  <c r="M149"/>
  <c r="O148"/>
  <c r="M148"/>
  <c r="S148" s="1"/>
  <c r="Q147"/>
  <c r="M147"/>
  <c r="N147" s="1"/>
  <c r="T147"/>
  <c r="Q146"/>
  <c r="M146"/>
  <c r="G146"/>
  <c r="T145"/>
  <c r="Q145"/>
  <c r="M145"/>
  <c r="M144"/>
  <c r="T143"/>
  <c r="Q143"/>
  <c r="M143"/>
  <c r="N143" s="1"/>
  <c r="T142"/>
  <c r="Q142"/>
  <c r="M142"/>
  <c r="O142" s="1"/>
  <c r="T141"/>
  <c r="Q141"/>
  <c r="M141"/>
  <c r="M140"/>
  <c r="J140" s="1"/>
  <c r="G140"/>
  <c r="M139"/>
  <c r="M138"/>
  <c r="G138"/>
  <c r="M137"/>
  <c r="J137" s="1"/>
  <c r="G137"/>
  <c r="M136"/>
  <c r="G136"/>
  <c r="M135"/>
  <c r="N135" s="1"/>
  <c r="S134"/>
  <c r="M134"/>
  <c r="J134" s="1"/>
  <c r="M133"/>
  <c r="G133"/>
  <c r="L132"/>
  <c r="L131" s="1"/>
  <c r="K132"/>
  <c r="I132"/>
  <c r="I131" s="1"/>
  <c r="I130" s="1"/>
  <c r="H132"/>
  <c r="H131" s="1"/>
  <c r="K131"/>
  <c r="K130"/>
  <c r="O129"/>
  <c r="N129"/>
  <c r="M129"/>
  <c r="J129" s="1"/>
  <c r="G129"/>
  <c r="Q128"/>
  <c r="M128"/>
  <c r="N128" s="1"/>
  <c r="M127"/>
  <c r="N127" s="1"/>
  <c r="T126"/>
  <c r="Q126"/>
  <c r="M126"/>
  <c r="N126" s="1"/>
  <c r="G126"/>
  <c r="Q125"/>
  <c r="M125"/>
  <c r="T124"/>
  <c r="Q124"/>
  <c r="M124"/>
  <c r="M123"/>
  <c r="Q122"/>
  <c r="M122"/>
  <c r="S122" s="1"/>
  <c r="T122"/>
  <c r="T121"/>
  <c r="Q121"/>
  <c r="M121"/>
  <c r="O121" s="1"/>
  <c r="Q120"/>
  <c r="N120"/>
  <c r="M120"/>
  <c r="P120" s="1"/>
  <c r="G120"/>
  <c r="M119"/>
  <c r="J119" s="1"/>
  <c r="M118"/>
  <c r="K111"/>
  <c r="M117"/>
  <c r="M116"/>
  <c r="N116" s="1"/>
  <c r="M115"/>
  <c r="J115" s="1"/>
  <c r="M114"/>
  <c r="J114" s="1"/>
  <c r="O113"/>
  <c r="M113"/>
  <c r="S113" s="1"/>
  <c r="M112"/>
  <c r="L111"/>
  <c r="L110" s="1"/>
  <c r="L109" s="1"/>
  <c r="I111"/>
  <c r="I110" s="1"/>
  <c r="I109" s="1"/>
  <c r="H111"/>
  <c r="H110" s="1"/>
  <c r="K110"/>
  <c r="K109"/>
  <c r="T108"/>
  <c r="Q108"/>
  <c r="M108"/>
  <c r="T107"/>
  <c r="Q107"/>
  <c r="L107"/>
  <c r="L106" s="1"/>
  <c r="K107"/>
  <c r="J107"/>
  <c r="I107"/>
  <c r="H107"/>
  <c r="G107"/>
  <c r="K106"/>
  <c r="J106"/>
  <c r="I106"/>
  <c r="H106"/>
  <c r="Q106" s="1"/>
  <c r="G106"/>
  <c r="T106" s="1"/>
  <c r="M105"/>
  <c r="J105" s="1"/>
  <c r="T104"/>
  <c r="Q104"/>
  <c r="M104"/>
  <c r="P104" s="1"/>
  <c r="L103"/>
  <c r="K103"/>
  <c r="I103"/>
  <c r="I102" s="1"/>
  <c r="H103"/>
  <c r="H102" s="1"/>
  <c r="G103"/>
  <c r="L102"/>
  <c r="K102"/>
  <c r="G102"/>
  <c r="N101"/>
  <c r="M101"/>
  <c r="J101" s="1"/>
  <c r="I101"/>
  <c r="M100"/>
  <c r="S100" s="1"/>
  <c r="I100"/>
  <c r="M99"/>
  <c r="J99" s="1"/>
  <c r="I99"/>
  <c r="O98"/>
  <c r="M98"/>
  <c r="S98" s="1"/>
  <c r="M97"/>
  <c r="J97" s="1"/>
  <c r="I97"/>
  <c r="M96"/>
  <c r="I96"/>
  <c r="M95"/>
  <c r="H95"/>
  <c r="I95" s="1"/>
  <c r="I94"/>
  <c r="L93"/>
  <c r="H93"/>
  <c r="G93"/>
  <c r="M92"/>
  <c r="I92"/>
  <c r="H92"/>
  <c r="M91"/>
  <c r="J91" s="1"/>
  <c r="I91"/>
  <c r="M90"/>
  <c r="I90"/>
  <c r="H90"/>
  <c r="M89"/>
  <c r="J89" s="1"/>
  <c r="I89"/>
  <c r="M88"/>
  <c r="I88"/>
  <c r="M87"/>
  <c r="J87" s="1"/>
  <c r="I87"/>
  <c r="K84"/>
  <c r="I86"/>
  <c r="H86"/>
  <c r="M85"/>
  <c r="J85" s="1"/>
  <c r="H84"/>
  <c r="L84"/>
  <c r="G84"/>
  <c r="M83"/>
  <c r="M82"/>
  <c r="M81"/>
  <c r="M80"/>
  <c r="M79"/>
  <c r="S79" s="1"/>
  <c r="M78"/>
  <c r="J78" s="1"/>
  <c r="M77"/>
  <c r="N77" s="1"/>
  <c r="K75"/>
  <c r="L75"/>
  <c r="I75"/>
  <c r="H75"/>
  <c r="G75"/>
  <c r="M74"/>
  <c r="I74"/>
  <c r="I73"/>
  <c r="M72"/>
  <c r="I72"/>
  <c r="I71"/>
  <c r="M70"/>
  <c r="I69"/>
  <c r="M68"/>
  <c r="I68"/>
  <c r="I67"/>
  <c r="L66"/>
  <c r="G66"/>
  <c r="M65"/>
  <c r="N65" s="1"/>
  <c r="I65"/>
  <c r="N64"/>
  <c r="M64"/>
  <c r="J64" s="1"/>
  <c r="Q64" s="1"/>
  <c r="I64"/>
  <c r="M63"/>
  <c r="N63" s="1"/>
  <c r="I63"/>
  <c r="N62"/>
  <c r="M62"/>
  <c r="J62" s="1"/>
  <c r="I62"/>
  <c r="M61"/>
  <c r="K51"/>
  <c r="I61"/>
  <c r="M60"/>
  <c r="S60" s="1"/>
  <c r="I60"/>
  <c r="M59"/>
  <c r="N59" s="1"/>
  <c r="I59"/>
  <c r="M58"/>
  <c r="J58" s="1"/>
  <c r="I58"/>
  <c r="L57"/>
  <c r="H57"/>
  <c r="G57"/>
  <c r="L55"/>
  <c r="G55"/>
  <c r="L54"/>
  <c r="G54"/>
  <c r="L53"/>
  <c r="G53"/>
  <c r="L52"/>
  <c r="G52"/>
  <c r="L51"/>
  <c r="G51"/>
  <c r="L50"/>
  <c r="G50"/>
  <c r="L49"/>
  <c r="G49"/>
  <c r="L48"/>
  <c r="G48"/>
  <c r="K47"/>
  <c r="G47"/>
  <c r="G46" s="1"/>
  <c r="K46"/>
  <c r="K45"/>
  <c r="M44"/>
  <c r="J44" s="1"/>
  <c r="I43"/>
  <c r="I42" s="1"/>
  <c r="H43"/>
  <c r="G43"/>
  <c r="G42" s="1"/>
  <c r="M41"/>
  <c r="S41" s="1"/>
  <c r="K40"/>
  <c r="I40"/>
  <c r="H40"/>
  <c r="G40"/>
  <c r="G39" s="1"/>
  <c r="L39"/>
  <c r="K39"/>
  <c r="I39"/>
  <c r="H39"/>
  <c r="S38"/>
  <c r="M38"/>
  <c r="N38" s="1"/>
  <c r="N35" s="1"/>
  <c r="K38"/>
  <c r="T37"/>
  <c r="S37"/>
  <c r="N37"/>
  <c r="M37"/>
  <c r="J37" s="1"/>
  <c r="K37"/>
  <c r="T36"/>
  <c r="Q36"/>
  <c r="K36"/>
  <c r="M36" s="1"/>
  <c r="L35"/>
  <c r="K35"/>
  <c r="I35"/>
  <c r="H35"/>
  <c r="G35"/>
  <c r="M34"/>
  <c r="J34" s="1"/>
  <c r="M33"/>
  <c r="S33" s="1"/>
  <c r="M32"/>
  <c r="G32"/>
  <c r="Q31"/>
  <c r="M31"/>
  <c r="P31" s="1"/>
  <c r="G31"/>
  <c r="T30"/>
  <c r="Q30"/>
  <c r="N30"/>
  <c r="M30"/>
  <c r="O30" s="1"/>
  <c r="T29"/>
  <c r="Q29"/>
  <c r="M29"/>
  <c r="M28"/>
  <c r="J28" s="1"/>
  <c r="T28" s="1"/>
  <c r="O27"/>
  <c r="N27"/>
  <c r="M27"/>
  <c r="J27" s="1"/>
  <c r="T26"/>
  <c r="Q26"/>
  <c r="M26"/>
  <c r="S26" s="1"/>
  <c r="M25"/>
  <c r="J25" s="1"/>
  <c r="M24"/>
  <c r="S24" s="1"/>
  <c r="M23"/>
  <c r="J23" s="1"/>
  <c r="M22"/>
  <c r="G22"/>
  <c r="M21"/>
  <c r="J21" s="1"/>
  <c r="M20"/>
  <c r="G20"/>
  <c r="M19"/>
  <c r="M18"/>
  <c r="N18" s="1"/>
  <c r="G18"/>
  <c r="M17"/>
  <c r="M16"/>
  <c r="G16"/>
  <c r="M15"/>
  <c r="N15" s="1"/>
  <c r="G15"/>
  <c r="L14"/>
  <c r="L13" s="1"/>
  <c r="I14"/>
  <c r="I13" s="1"/>
  <c r="H14"/>
  <c r="H13" s="1"/>
  <c r="K13"/>
  <c r="O12"/>
  <c r="N12"/>
  <c r="M12"/>
  <c r="J12" s="1"/>
  <c r="P12" s="1"/>
  <c r="G12"/>
  <c r="T11"/>
  <c r="Q11"/>
  <c r="M11"/>
  <c r="N11" s="1"/>
  <c r="L10"/>
  <c r="K10"/>
  <c r="I10"/>
  <c r="H10"/>
  <c r="M9"/>
  <c r="L8"/>
  <c r="L7" s="1"/>
  <c r="K8"/>
  <c r="I8"/>
  <c r="I7" s="1"/>
  <c r="H8"/>
  <c r="H7" s="1"/>
  <c r="G8"/>
  <c r="K7"/>
  <c r="K6"/>
  <c r="N15" i="88"/>
  <c r="O119" i="89" l="1"/>
  <c r="S115"/>
  <c r="N187"/>
  <c r="N312"/>
  <c r="N311" s="1"/>
  <c r="N310" s="1"/>
  <c r="O312"/>
  <c r="M311"/>
  <c r="O311" s="1"/>
  <c r="N213"/>
  <c r="N113"/>
  <c r="S30"/>
  <c r="P30"/>
  <c r="S27"/>
  <c r="N165"/>
  <c r="N148"/>
  <c r="N60"/>
  <c r="I54"/>
  <c r="I55"/>
  <c r="I52"/>
  <c r="N61"/>
  <c r="S245"/>
  <c r="P177"/>
  <c r="Q177"/>
  <c r="J133"/>
  <c r="Q133" s="1"/>
  <c r="N133"/>
  <c r="P141"/>
  <c r="O141"/>
  <c r="N141"/>
  <c r="N255"/>
  <c r="N254" s="1"/>
  <c r="O36"/>
  <c r="P36"/>
  <c r="M35"/>
  <c r="O35" s="1"/>
  <c r="S284"/>
  <c r="N284"/>
  <c r="N283" s="1"/>
  <c r="O284"/>
  <c r="J284"/>
  <c r="S147"/>
  <c r="O31"/>
  <c r="O245"/>
  <c r="O250"/>
  <c r="O256"/>
  <c r="N31"/>
  <c r="O100"/>
  <c r="S135"/>
  <c r="N142"/>
  <c r="P147"/>
  <c r="O220"/>
  <c r="N250"/>
  <c r="K153"/>
  <c r="M176"/>
  <c r="O147"/>
  <c r="S161"/>
  <c r="J100"/>
  <c r="P100" s="1"/>
  <c r="O161"/>
  <c r="N219"/>
  <c r="N98"/>
  <c r="O104"/>
  <c r="S119"/>
  <c r="P126"/>
  <c r="O274"/>
  <c r="S287"/>
  <c r="S12"/>
  <c r="S35"/>
  <c r="J287"/>
  <c r="T287" s="1"/>
  <c r="S34"/>
  <c r="S140"/>
  <c r="S301"/>
  <c r="O34"/>
  <c r="O257"/>
  <c r="O280"/>
  <c r="N34"/>
  <c r="J38"/>
  <c r="Q38" s="1"/>
  <c r="S116"/>
  <c r="O165"/>
  <c r="S177"/>
  <c r="S187"/>
  <c r="S214"/>
  <c r="N257"/>
  <c r="N280"/>
  <c r="P301"/>
  <c r="S309"/>
  <c r="I281"/>
  <c r="N169"/>
  <c r="N200"/>
  <c r="I180"/>
  <c r="N44"/>
  <c r="N43" s="1"/>
  <c r="N42" s="1"/>
  <c r="N9"/>
  <c r="N8" s="1"/>
  <c r="O24"/>
  <c r="N24"/>
  <c r="S23"/>
  <c r="N23"/>
  <c r="P312"/>
  <c r="N297"/>
  <c r="P292"/>
  <c r="Q292"/>
  <c r="Q308"/>
  <c r="P308"/>
  <c r="T308"/>
  <c r="S299"/>
  <c r="S302"/>
  <c r="P302"/>
  <c r="S296"/>
  <c r="S295"/>
  <c r="S279"/>
  <c r="P280"/>
  <c r="Q280"/>
  <c r="S280"/>
  <c r="O268"/>
  <c r="N268"/>
  <c r="N266"/>
  <c r="Q267"/>
  <c r="J274"/>
  <c r="N271"/>
  <c r="M261"/>
  <c r="S261" s="1"/>
  <c r="L258"/>
  <c r="L230" s="1"/>
  <c r="Q253"/>
  <c r="P253"/>
  <c r="S253"/>
  <c r="S241"/>
  <c r="O241"/>
  <c r="O251"/>
  <c r="N241"/>
  <c r="N251"/>
  <c r="P241"/>
  <c r="Q241"/>
  <c r="T241"/>
  <c r="S240"/>
  <c r="S244"/>
  <c r="Q250"/>
  <c r="S239"/>
  <c r="S246"/>
  <c r="N246"/>
  <c r="T250"/>
  <c r="P248"/>
  <c r="N220"/>
  <c r="J219"/>
  <c r="P219" s="1"/>
  <c r="O213"/>
  <c r="J209"/>
  <c r="Q209" s="1"/>
  <c r="S219"/>
  <c r="J213"/>
  <c r="S218"/>
  <c r="K180"/>
  <c r="M203"/>
  <c r="O203" s="1"/>
  <c r="P194"/>
  <c r="O194"/>
  <c r="N183"/>
  <c r="Q186"/>
  <c r="P186"/>
  <c r="S194"/>
  <c r="N161"/>
  <c r="S172"/>
  <c r="O172"/>
  <c r="N172"/>
  <c r="S165"/>
  <c r="Q165"/>
  <c r="P165"/>
  <c r="T165"/>
  <c r="S171"/>
  <c r="O162"/>
  <c r="S170"/>
  <c r="N162"/>
  <c r="S143"/>
  <c r="P143"/>
  <c r="J135"/>
  <c r="T135" s="1"/>
  <c r="S133"/>
  <c r="S146"/>
  <c r="O133"/>
  <c r="N119"/>
  <c r="O114"/>
  <c r="N114"/>
  <c r="N121"/>
  <c r="S120"/>
  <c r="O120"/>
  <c r="Q129"/>
  <c r="P129"/>
  <c r="P119"/>
  <c r="Q119"/>
  <c r="J116"/>
  <c r="Q116" s="1"/>
  <c r="S114"/>
  <c r="S129"/>
  <c r="N104"/>
  <c r="N100"/>
  <c r="S97"/>
  <c r="N97"/>
  <c r="O97"/>
  <c r="O101"/>
  <c r="P97"/>
  <c r="Q97"/>
  <c r="Q100"/>
  <c r="N99"/>
  <c r="S101"/>
  <c r="N89"/>
  <c r="N91"/>
  <c r="N85"/>
  <c r="N87"/>
  <c r="N74"/>
  <c r="L47"/>
  <c r="L46" s="1"/>
  <c r="L45" s="1"/>
  <c r="L6" s="1"/>
  <c r="N68"/>
  <c r="P62"/>
  <c r="Q62"/>
  <c r="P58"/>
  <c r="Q58"/>
  <c r="O60"/>
  <c r="J60"/>
  <c r="S62"/>
  <c r="S58"/>
  <c r="O62"/>
  <c r="N58"/>
  <c r="S64"/>
  <c r="O58"/>
  <c r="M55"/>
  <c r="M43"/>
  <c r="N28"/>
  <c r="S15"/>
  <c r="P23"/>
  <c r="Q23"/>
  <c r="Q34"/>
  <c r="P34"/>
  <c r="T34"/>
  <c r="Q27"/>
  <c r="T27"/>
  <c r="P27"/>
  <c r="S31"/>
  <c r="J18"/>
  <c r="T18" s="1"/>
  <c r="O33"/>
  <c r="O23"/>
  <c r="S28"/>
  <c r="N33"/>
  <c r="N10"/>
  <c r="M10"/>
  <c r="O10" s="1"/>
  <c r="S8"/>
  <c r="M8"/>
  <c r="N22"/>
  <c r="O22"/>
  <c r="J22"/>
  <c r="T22" s="1"/>
  <c r="O96"/>
  <c r="S96"/>
  <c r="J96"/>
  <c r="O88"/>
  <c r="S88"/>
  <c r="J88"/>
  <c r="P88" s="1"/>
  <c r="N108"/>
  <c r="N107" s="1"/>
  <c r="N106" s="1"/>
  <c r="O108"/>
  <c r="P108"/>
  <c r="S108"/>
  <c r="M107"/>
  <c r="O82"/>
  <c r="S82"/>
  <c r="J82"/>
  <c r="O232"/>
  <c r="O231" s="1"/>
  <c r="M231"/>
  <c r="J16"/>
  <c r="T16" s="1"/>
  <c r="O16"/>
  <c r="N16"/>
  <c r="J81"/>
  <c r="N81"/>
  <c r="O81"/>
  <c r="S81"/>
  <c r="Q87"/>
  <c r="P87"/>
  <c r="P217"/>
  <c r="N217"/>
  <c r="O217"/>
  <c r="S217"/>
  <c r="Q310"/>
  <c r="H281"/>
  <c r="O59"/>
  <c r="S59"/>
  <c r="J59"/>
  <c r="J72"/>
  <c r="P72" s="1"/>
  <c r="O72"/>
  <c r="S72"/>
  <c r="J103"/>
  <c r="P105"/>
  <c r="Q105"/>
  <c r="N167"/>
  <c r="O167"/>
  <c r="S167"/>
  <c r="S197"/>
  <c r="T197"/>
  <c r="J210"/>
  <c r="O210"/>
  <c r="N210"/>
  <c r="M208"/>
  <c r="S210"/>
  <c r="J216"/>
  <c r="O216"/>
  <c r="N216"/>
  <c r="S216"/>
  <c r="P221"/>
  <c r="Q221"/>
  <c r="T221"/>
  <c r="N306"/>
  <c r="O306"/>
  <c r="P306"/>
  <c r="S306"/>
  <c r="O65"/>
  <c r="J65"/>
  <c r="Q65" s="1"/>
  <c r="S65"/>
  <c r="N146"/>
  <c r="O146"/>
  <c r="P146"/>
  <c r="P252"/>
  <c r="Q252"/>
  <c r="M71"/>
  <c r="K52"/>
  <c r="O79"/>
  <c r="J79"/>
  <c r="N79"/>
  <c r="P101"/>
  <c r="Q101"/>
  <c r="N125"/>
  <c r="O125"/>
  <c r="P125"/>
  <c r="P134"/>
  <c r="Q134"/>
  <c r="G264"/>
  <c r="Q286"/>
  <c r="P286"/>
  <c r="S293"/>
  <c r="K49"/>
  <c r="N72"/>
  <c r="N92"/>
  <c r="Q272"/>
  <c r="M14"/>
  <c r="I49"/>
  <c r="K55"/>
  <c r="L153"/>
  <c r="J80"/>
  <c r="O80"/>
  <c r="N80"/>
  <c r="S80"/>
  <c r="P193"/>
  <c r="Q193"/>
  <c r="T193"/>
  <c r="P222"/>
  <c r="O222"/>
  <c r="N222"/>
  <c r="P78"/>
  <c r="Q78"/>
  <c r="Q91"/>
  <c r="P91"/>
  <c r="P114"/>
  <c r="Q114"/>
  <c r="T114"/>
  <c r="S125"/>
  <c r="T125"/>
  <c r="O192"/>
  <c r="P192"/>
  <c r="S192"/>
  <c r="Q215"/>
  <c r="P215"/>
  <c r="P271"/>
  <c r="Q271"/>
  <c r="J303"/>
  <c r="N303"/>
  <c r="O303"/>
  <c r="S303"/>
  <c r="K14"/>
  <c r="M86"/>
  <c r="N86" s="1"/>
  <c r="L180"/>
  <c r="G14"/>
  <c r="S16"/>
  <c r="Q168"/>
  <c r="P168"/>
  <c r="T168"/>
  <c r="J201"/>
  <c r="O201"/>
  <c r="N201"/>
  <c r="N267"/>
  <c r="O267"/>
  <c r="P275"/>
  <c r="Q275"/>
  <c r="Q309"/>
  <c r="T309"/>
  <c r="P309"/>
  <c r="Q21"/>
  <c r="P21"/>
  <c r="T21"/>
  <c r="Q37"/>
  <c r="P37"/>
  <c r="J70"/>
  <c r="P70" s="1"/>
  <c r="S70"/>
  <c r="O77"/>
  <c r="S77"/>
  <c r="J77"/>
  <c r="O124"/>
  <c r="N124"/>
  <c r="P124"/>
  <c r="S124"/>
  <c r="P145"/>
  <c r="N145"/>
  <c r="O145"/>
  <c r="S145"/>
  <c r="P149"/>
  <c r="Q149"/>
  <c r="T149"/>
  <c r="N191"/>
  <c r="S191"/>
  <c r="O191"/>
  <c r="P191"/>
  <c r="Q226"/>
  <c r="P226"/>
  <c r="T226"/>
  <c r="O255"/>
  <c r="M254"/>
  <c r="S254" s="1"/>
  <c r="M259"/>
  <c r="S259" s="1"/>
  <c r="J260"/>
  <c r="O260"/>
  <c r="N260"/>
  <c r="N259" s="1"/>
  <c r="S260"/>
  <c r="P285"/>
  <c r="Q285"/>
  <c r="T285"/>
  <c r="N298"/>
  <c r="O298"/>
  <c r="P298"/>
  <c r="S298"/>
  <c r="N82"/>
  <c r="O166"/>
  <c r="S166"/>
  <c r="N166"/>
  <c r="P166"/>
  <c r="G181"/>
  <c r="O92"/>
  <c r="S92"/>
  <c r="J92"/>
  <c r="P92" s="1"/>
  <c r="P9"/>
  <c r="Q9"/>
  <c r="T9"/>
  <c r="J8"/>
  <c r="Q8" s="1"/>
  <c r="N20"/>
  <c r="O20"/>
  <c r="O41"/>
  <c r="M40"/>
  <c r="J41"/>
  <c r="N41"/>
  <c r="N40" s="1"/>
  <c r="N39" s="1"/>
  <c r="M69"/>
  <c r="K50"/>
  <c r="N139"/>
  <c r="O139"/>
  <c r="S139"/>
  <c r="J139"/>
  <c r="O190"/>
  <c r="N190"/>
  <c r="N225"/>
  <c r="O225"/>
  <c r="S225"/>
  <c r="J225"/>
  <c r="J291"/>
  <c r="T291" s="1"/>
  <c r="O291"/>
  <c r="N291"/>
  <c r="M290"/>
  <c r="P156"/>
  <c r="Q156"/>
  <c r="T156"/>
  <c r="N293"/>
  <c r="O293"/>
  <c r="J293"/>
  <c r="T293" s="1"/>
  <c r="P26"/>
  <c r="O26"/>
  <c r="N26"/>
  <c r="N160"/>
  <c r="O160"/>
  <c r="S160"/>
  <c r="P179"/>
  <c r="Q179"/>
  <c r="S190"/>
  <c r="Q239"/>
  <c r="P239"/>
  <c r="G290"/>
  <c r="S291"/>
  <c r="J20"/>
  <c r="N90"/>
  <c r="K258"/>
  <c r="J233"/>
  <c r="N233"/>
  <c r="N232" s="1"/>
  <c r="N231" s="1"/>
  <c r="O233"/>
  <c r="S233"/>
  <c r="O61"/>
  <c r="S61"/>
  <c r="J61"/>
  <c r="Q61" s="1"/>
  <c r="M51"/>
  <c r="O90"/>
  <c r="S90"/>
  <c r="J90"/>
  <c r="P90" s="1"/>
  <c r="O144"/>
  <c r="N144"/>
  <c r="S144"/>
  <c r="P214"/>
  <c r="Q214"/>
  <c r="T214"/>
  <c r="P25"/>
  <c r="T25"/>
  <c r="Q25"/>
  <c r="G45"/>
  <c r="J112"/>
  <c r="N112"/>
  <c r="O112"/>
  <c r="S112"/>
  <c r="N118"/>
  <c r="O118"/>
  <c r="S118"/>
  <c r="J118"/>
  <c r="P122"/>
  <c r="O122"/>
  <c r="N122"/>
  <c r="J138"/>
  <c r="N138"/>
  <c r="O138"/>
  <c r="S138"/>
  <c r="J174"/>
  <c r="O174"/>
  <c r="N174"/>
  <c r="P195"/>
  <c r="Q195"/>
  <c r="T195"/>
  <c r="N199"/>
  <c r="O199"/>
  <c r="J199"/>
  <c r="P243"/>
  <c r="Q243"/>
  <c r="T243"/>
  <c r="S247"/>
  <c r="T247"/>
  <c r="S20"/>
  <c r="N69"/>
  <c r="N96"/>
  <c r="K155"/>
  <c r="T187"/>
  <c r="Q187"/>
  <c r="P187"/>
  <c r="J19"/>
  <c r="O19"/>
  <c r="N19"/>
  <c r="S19"/>
  <c r="Q89"/>
  <c r="P89"/>
  <c r="J95"/>
  <c r="P95" s="1"/>
  <c r="O95"/>
  <c r="S95"/>
  <c r="P152"/>
  <c r="S152"/>
  <c r="M151"/>
  <c r="O159"/>
  <c r="S159"/>
  <c r="N159"/>
  <c r="S174"/>
  <c r="T174"/>
  <c r="J178"/>
  <c r="N178"/>
  <c r="S178"/>
  <c r="O185"/>
  <c r="N185"/>
  <c r="S224"/>
  <c r="O224"/>
  <c r="N224"/>
  <c r="P224"/>
  <c r="Q296"/>
  <c r="P296"/>
  <c r="T296"/>
  <c r="S199"/>
  <c r="N29"/>
  <c r="O29"/>
  <c r="P29"/>
  <c r="S29"/>
  <c r="J68"/>
  <c r="P68" s="1"/>
  <c r="O68"/>
  <c r="S68"/>
  <c r="J117"/>
  <c r="O117"/>
  <c r="N117"/>
  <c r="S117"/>
  <c r="N137"/>
  <c r="O137"/>
  <c r="O158"/>
  <c r="N158"/>
  <c r="S158"/>
  <c r="P184"/>
  <c r="Q184"/>
  <c r="T189"/>
  <c r="P189"/>
  <c r="Q189"/>
  <c r="N238"/>
  <c r="O238"/>
  <c r="S238"/>
  <c r="J238"/>
  <c r="N95"/>
  <c r="M111"/>
  <c r="L130"/>
  <c r="G258"/>
  <c r="Q140"/>
  <c r="P140"/>
  <c r="T140"/>
  <c r="Q85"/>
  <c r="P85"/>
  <c r="J123"/>
  <c r="N123"/>
  <c r="O123"/>
  <c r="S123"/>
  <c r="Q173"/>
  <c r="P173"/>
  <c r="M94"/>
  <c r="N94" s="1"/>
  <c r="K93"/>
  <c r="P99"/>
  <c r="Q99"/>
  <c r="O127"/>
  <c r="S127"/>
  <c r="J127"/>
  <c r="Q137"/>
  <c r="P137"/>
  <c r="T246"/>
  <c r="Q246"/>
  <c r="P246"/>
  <c r="P269"/>
  <c r="Q269"/>
  <c r="Q12"/>
  <c r="J10"/>
  <c r="Q10" s="1"/>
  <c r="J32"/>
  <c r="O32"/>
  <c r="N32"/>
  <c r="S32"/>
  <c r="O63"/>
  <c r="S63"/>
  <c r="J63"/>
  <c r="Q63" s="1"/>
  <c r="M53"/>
  <c r="M67"/>
  <c r="N67" s="1"/>
  <c r="K66"/>
  <c r="K48"/>
  <c r="J74"/>
  <c r="P74" s="1"/>
  <c r="O74"/>
  <c r="S74"/>
  <c r="J83"/>
  <c r="N83"/>
  <c r="O83"/>
  <c r="S83"/>
  <c r="P198"/>
  <c r="N198"/>
  <c r="O198"/>
  <c r="S198"/>
  <c r="O205"/>
  <c r="P205"/>
  <c r="N205"/>
  <c r="N218"/>
  <c r="O218"/>
  <c r="P218"/>
  <c r="J229"/>
  <c r="O229"/>
  <c r="N229"/>
  <c r="N228" s="1"/>
  <c r="N227" s="1"/>
  <c r="M228"/>
  <c r="S229"/>
  <c r="J237"/>
  <c r="O237"/>
  <c r="S237"/>
  <c r="N237"/>
  <c r="O263"/>
  <c r="N263"/>
  <c r="S263"/>
  <c r="N279"/>
  <c r="N278" s="1"/>
  <c r="N277" s="1"/>
  <c r="O279"/>
  <c r="J279"/>
  <c r="M278"/>
  <c r="N289"/>
  <c r="J289"/>
  <c r="O289"/>
  <c r="S289"/>
  <c r="N295"/>
  <c r="O295"/>
  <c r="J295"/>
  <c r="T295" s="1"/>
  <c r="M57"/>
  <c r="S57" s="1"/>
  <c r="T137"/>
  <c r="J294"/>
  <c r="N294"/>
  <c r="O294"/>
  <c r="S294"/>
  <c r="P115"/>
  <c r="Q115"/>
  <c r="O211"/>
  <c r="S211"/>
  <c r="J211"/>
  <c r="S18"/>
  <c r="H109"/>
  <c r="J136"/>
  <c r="O136"/>
  <c r="N136"/>
  <c r="S136"/>
  <c r="O157"/>
  <c r="N157"/>
  <c r="M155"/>
  <c r="O188"/>
  <c r="N188"/>
  <c r="J204"/>
  <c r="N204"/>
  <c r="O204"/>
  <c r="S204"/>
  <c r="O223"/>
  <c r="N223"/>
  <c r="P223"/>
  <c r="S223"/>
  <c r="J236"/>
  <c r="T236" s="1"/>
  <c r="O236"/>
  <c r="N236"/>
  <c r="M235"/>
  <c r="P273"/>
  <c r="Q273"/>
  <c r="T273"/>
  <c r="K53"/>
  <c r="P163"/>
  <c r="Q163"/>
  <c r="T163"/>
  <c r="P172"/>
  <c r="Q172"/>
  <c r="T172"/>
  <c r="P307"/>
  <c r="O307"/>
  <c r="N307"/>
  <c r="S17"/>
  <c r="O17"/>
  <c r="J17"/>
  <c r="N17"/>
  <c r="P28"/>
  <c r="Q28"/>
  <c r="P44"/>
  <c r="Q44"/>
  <c r="J43"/>
  <c r="M73"/>
  <c r="K54"/>
  <c r="P164"/>
  <c r="O164"/>
  <c r="N164"/>
  <c r="O176"/>
  <c r="S176"/>
  <c r="M175"/>
  <c r="S175" s="1"/>
  <c r="S188"/>
  <c r="J212"/>
  <c r="O212"/>
  <c r="N212"/>
  <c r="S212"/>
  <c r="G235"/>
  <c r="S236"/>
  <c r="J288"/>
  <c r="N288"/>
  <c r="O288"/>
  <c r="S288"/>
  <c r="N300"/>
  <c r="O300"/>
  <c r="S300"/>
  <c r="N88"/>
  <c r="S22"/>
  <c r="I53"/>
  <c r="M182"/>
  <c r="S182" s="1"/>
  <c r="S307"/>
  <c r="J24"/>
  <c r="I84"/>
  <c r="J98"/>
  <c r="O115"/>
  <c r="O134"/>
  <c r="O143"/>
  <c r="J148"/>
  <c r="O173"/>
  <c r="T183"/>
  <c r="O215"/>
  <c r="J220"/>
  <c r="J242"/>
  <c r="J251"/>
  <c r="O262"/>
  <c r="O261" s="1"/>
  <c r="O286"/>
  <c r="O301"/>
  <c r="O15"/>
  <c r="S21"/>
  <c r="T23"/>
  <c r="O28"/>
  <c r="J33"/>
  <c r="O37"/>
  <c r="I50"/>
  <c r="I57"/>
  <c r="S85"/>
  <c r="S87"/>
  <c r="S89"/>
  <c r="S91"/>
  <c r="J113"/>
  <c r="N115"/>
  <c r="T119"/>
  <c r="S126"/>
  <c r="M132"/>
  <c r="N134"/>
  <c r="H150"/>
  <c r="Q150" s="1"/>
  <c r="T161"/>
  <c r="S168"/>
  <c r="N173"/>
  <c r="S179"/>
  <c r="O187"/>
  <c r="O189"/>
  <c r="N215"/>
  <c r="S226"/>
  <c r="O246"/>
  <c r="S248"/>
  <c r="J257"/>
  <c r="N262"/>
  <c r="P270"/>
  <c r="I272"/>
  <c r="I264" s="1"/>
  <c r="I258" s="1"/>
  <c r="I230" s="1"/>
  <c r="N286"/>
  <c r="O309"/>
  <c r="J240"/>
  <c r="S11"/>
  <c r="O21"/>
  <c r="S25"/>
  <c r="P64"/>
  <c r="S78"/>
  <c r="O85"/>
  <c r="O87"/>
  <c r="O89"/>
  <c r="O91"/>
  <c r="S99"/>
  <c r="S105"/>
  <c r="O126"/>
  <c r="S128"/>
  <c r="O140"/>
  <c r="S149"/>
  <c r="P161"/>
  <c r="S163"/>
  <c r="O168"/>
  <c r="O179"/>
  <c r="S184"/>
  <c r="S193"/>
  <c r="S221"/>
  <c r="O226"/>
  <c r="O239"/>
  <c r="S243"/>
  <c r="O248"/>
  <c r="S252"/>
  <c r="S269"/>
  <c r="S271"/>
  <c r="S273"/>
  <c r="O296"/>
  <c r="P313"/>
  <c r="K57"/>
  <c r="S9"/>
  <c r="J15"/>
  <c r="N21"/>
  <c r="S44"/>
  <c r="O64"/>
  <c r="M76"/>
  <c r="S121"/>
  <c r="N140"/>
  <c r="S142"/>
  <c r="S156"/>
  <c r="N168"/>
  <c r="N179"/>
  <c r="K208"/>
  <c r="K207" s="1"/>
  <c r="K206" s="1"/>
  <c r="N226"/>
  <c r="N239"/>
  <c r="N296"/>
  <c r="G111"/>
  <c r="P11"/>
  <c r="J266"/>
  <c r="Q266" s="1"/>
  <c r="P128"/>
  <c r="O78"/>
  <c r="P121"/>
  <c r="O128"/>
  <c r="G132"/>
  <c r="P142"/>
  <c r="O149"/>
  <c r="O163"/>
  <c r="O170"/>
  <c r="O184"/>
  <c r="O193"/>
  <c r="O221"/>
  <c r="O243"/>
  <c r="O252"/>
  <c r="O269"/>
  <c r="O271"/>
  <c r="O273"/>
  <c r="S312"/>
  <c r="M103"/>
  <c r="G155"/>
  <c r="P170"/>
  <c r="O11"/>
  <c r="O25"/>
  <c r="S36"/>
  <c r="O99"/>
  <c r="O105"/>
  <c r="O9"/>
  <c r="N25"/>
  <c r="O44"/>
  <c r="I70"/>
  <c r="N70" s="1"/>
  <c r="N78"/>
  <c r="I93"/>
  <c r="N105"/>
  <c r="N149"/>
  <c r="O156"/>
  <c r="N163"/>
  <c r="N184"/>
  <c r="N193"/>
  <c r="N221"/>
  <c r="N243"/>
  <c r="N252"/>
  <c r="M265"/>
  <c r="S265" s="1"/>
  <c r="N269"/>
  <c r="N273"/>
  <c r="G10"/>
  <c r="G208"/>
  <c r="M283"/>
  <c r="H66"/>
  <c r="S137"/>
  <c r="T146"/>
  <c r="N195"/>
  <c r="N214"/>
  <c r="T218"/>
  <c r="N275"/>
  <c r="N285"/>
  <c r="O18"/>
  <c r="T31"/>
  <c r="O38"/>
  <c r="O116"/>
  <c r="T120"/>
  <c r="O135"/>
  <c r="O197"/>
  <c r="O209"/>
  <c r="O247"/>
  <c r="S249"/>
  <c r="H254"/>
  <c r="S266"/>
  <c r="G278"/>
  <c r="J283"/>
  <c r="O287"/>
  <c r="S297"/>
  <c r="O302"/>
  <c r="S232"/>
  <c r="S255"/>
  <c r="T12"/>
  <c r="H42"/>
  <c r="S104"/>
  <c r="S141"/>
  <c r="S169"/>
  <c r="S183"/>
  <c r="H202"/>
  <c r="H265"/>
  <c r="S272"/>
  <c r="T299"/>
  <c r="I66"/>
  <c r="T129"/>
  <c r="T171"/>
  <c r="T194"/>
  <c r="T244"/>
  <c r="P249"/>
  <c r="T253"/>
  <c r="T311"/>
  <c r="H264" i="88"/>
  <c r="I264"/>
  <c r="J264"/>
  <c r="K264"/>
  <c r="L264"/>
  <c r="M264"/>
  <c r="N264"/>
  <c r="G264"/>
  <c r="G258" s="1"/>
  <c r="G230" s="1"/>
  <c r="G5" s="1"/>
  <c r="S311" i="89" l="1"/>
  <c r="T133"/>
  <c r="P116"/>
  <c r="N57"/>
  <c r="O55"/>
  <c r="P133"/>
  <c r="P18"/>
  <c r="T284"/>
  <c r="P284"/>
  <c r="Q284"/>
  <c r="J132"/>
  <c r="Q132" s="1"/>
  <c r="J35"/>
  <c r="P35" s="1"/>
  <c r="P38"/>
  <c r="P287"/>
  <c r="Q287"/>
  <c r="Q74"/>
  <c r="N176"/>
  <c r="N175" s="1"/>
  <c r="Q92"/>
  <c r="N7"/>
  <c r="N14"/>
  <c r="N13" s="1"/>
  <c r="M310"/>
  <c r="O310" s="1"/>
  <c r="P311"/>
  <c r="P274"/>
  <c r="Q274"/>
  <c r="P267"/>
  <c r="Q270"/>
  <c r="T219"/>
  <c r="Q219"/>
  <c r="K5"/>
  <c r="N208"/>
  <c r="N207" s="1"/>
  <c r="N206" s="1"/>
  <c r="P209"/>
  <c r="T209"/>
  <c r="T213"/>
  <c r="Q213"/>
  <c r="P213"/>
  <c r="M202"/>
  <c r="S202" s="1"/>
  <c r="N203"/>
  <c r="N202" s="1"/>
  <c r="S203"/>
  <c r="N182"/>
  <c r="N181" s="1"/>
  <c r="P135"/>
  <c r="Q135"/>
  <c r="T116"/>
  <c r="N103"/>
  <c r="N102" s="1"/>
  <c r="N51"/>
  <c r="N53"/>
  <c r="Q95"/>
  <c r="N93"/>
  <c r="N55"/>
  <c r="N49"/>
  <c r="P60"/>
  <c r="Q60"/>
  <c r="S55"/>
  <c r="M42"/>
  <c r="O43"/>
  <c r="S43"/>
  <c r="Q18"/>
  <c r="M7"/>
  <c r="O7" s="1"/>
  <c r="P10"/>
  <c r="O8"/>
  <c r="P294"/>
  <c r="Q294"/>
  <c r="G180"/>
  <c r="Q113"/>
  <c r="P113"/>
  <c r="G13"/>
  <c r="S14"/>
  <c r="P216"/>
  <c r="Q216"/>
  <c r="T216"/>
  <c r="N261"/>
  <c r="P279"/>
  <c r="Q279"/>
  <c r="J278"/>
  <c r="S290"/>
  <c r="G282"/>
  <c r="Q80"/>
  <c r="P80"/>
  <c r="Q144"/>
  <c r="P144"/>
  <c r="T144"/>
  <c r="P266"/>
  <c r="Q265"/>
  <c r="P43"/>
  <c r="J42"/>
  <c r="Q42" s="1"/>
  <c r="P251"/>
  <c r="Q251"/>
  <c r="Q158"/>
  <c r="P158"/>
  <c r="T158"/>
  <c r="P268"/>
  <c r="Q268"/>
  <c r="P204"/>
  <c r="Q204"/>
  <c r="J203"/>
  <c r="P118"/>
  <c r="Q118"/>
  <c r="T118"/>
  <c r="P139"/>
  <c r="Q139"/>
  <c r="T139"/>
  <c r="O73"/>
  <c r="M54"/>
  <c r="S73"/>
  <c r="J73"/>
  <c r="P289"/>
  <c r="Q289"/>
  <c r="T289"/>
  <c r="P63"/>
  <c r="J53"/>
  <c r="P53" s="1"/>
  <c r="Q20"/>
  <c r="P20"/>
  <c r="O70"/>
  <c r="Q257"/>
  <c r="J255"/>
  <c r="P257"/>
  <c r="P59"/>
  <c r="J57"/>
  <c r="S111"/>
  <c r="G110"/>
  <c r="J102"/>
  <c r="Q103"/>
  <c r="P103"/>
  <c r="T103"/>
  <c r="M102"/>
  <c r="O103"/>
  <c r="S103"/>
  <c r="O53"/>
  <c r="S53"/>
  <c r="Q293"/>
  <c r="P293"/>
  <c r="O71"/>
  <c r="S71"/>
  <c r="J71"/>
  <c r="J155"/>
  <c r="T155" s="1"/>
  <c r="N132"/>
  <c r="N131" s="1"/>
  <c r="N130" s="1"/>
  <c r="P178"/>
  <c r="Q178"/>
  <c r="T304"/>
  <c r="P297"/>
  <c r="T297"/>
  <c r="Q297"/>
  <c r="P211"/>
  <c r="Q211"/>
  <c r="T211"/>
  <c r="P33"/>
  <c r="Q33"/>
  <c r="P98"/>
  <c r="Q98"/>
  <c r="P229"/>
  <c r="Q229"/>
  <c r="J228"/>
  <c r="O67"/>
  <c r="S67"/>
  <c r="M66"/>
  <c r="M48"/>
  <c r="J67"/>
  <c r="P127"/>
  <c r="Q127"/>
  <c r="T127"/>
  <c r="T35"/>
  <c r="Q59"/>
  <c r="P212"/>
  <c r="Q212"/>
  <c r="P199"/>
  <c r="Q199"/>
  <c r="O94"/>
  <c r="O93" s="1"/>
  <c r="S94"/>
  <c r="M93"/>
  <c r="S93" s="1"/>
  <c r="J94"/>
  <c r="O182"/>
  <c r="M181"/>
  <c r="S181" s="1"/>
  <c r="P201"/>
  <c r="Q201"/>
  <c r="P303"/>
  <c r="T303"/>
  <c r="Q303"/>
  <c r="I51"/>
  <c r="I47" s="1"/>
  <c r="I46" s="1"/>
  <c r="I45" s="1"/>
  <c r="I6" s="1"/>
  <c r="I5" s="1"/>
  <c r="M52"/>
  <c r="P188"/>
  <c r="Q188"/>
  <c r="P79"/>
  <c r="Q79"/>
  <c r="T19"/>
  <c r="P19"/>
  <c r="Q19"/>
  <c r="M131"/>
  <c r="O132"/>
  <c r="T185"/>
  <c r="P185"/>
  <c r="Q185"/>
  <c r="P138"/>
  <c r="T138"/>
  <c r="Q138"/>
  <c r="M75"/>
  <c r="S75" s="1"/>
  <c r="J76"/>
  <c r="N76"/>
  <c r="N75" s="1"/>
  <c r="O76"/>
  <c r="O75" s="1"/>
  <c r="S76"/>
  <c r="P300"/>
  <c r="Q300"/>
  <c r="T300"/>
  <c r="Q225"/>
  <c r="P225"/>
  <c r="T225"/>
  <c r="P77"/>
  <c r="Q77"/>
  <c r="P236"/>
  <c r="Q236"/>
  <c r="J235"/>
  <c r="P295"/>
  <c r="Q295"/>
  <c r="M227"/>
  <c r="S227" s="1"/>
  <c r="S228"/>
  <c r="O228"/>
  <c r="P123"/>
  <c r="Q123"/>
  <c r="T123"/>
  <c r="P238"/>
  <c r="Q238"/>
  <c r="T238"/>
  <c r="Q174"/>
  <c r="P174"/>
  <c r="P291"/>
  <c r="Q291"/>
  <c r="J290"/>
  <c r="T290" s="1"/>
  <c r="P8"/>
  <c r="J7"/>
  <c r="O259"/>
  <c r="T201"/>
  <c r="T17"/>
  <c r="P17"/>
  <c r="Q17"/>
  <c r="O278"/>
  <c r="O277" s="1"/>
  <c r="M277"/>
  <c r="P190"/>
  <c r="Q190"/>
  <c r="P81"/>
  <c r="Q81"/>
  <c r="O265"/>
  <c r="M264"/>
  <c r="O264" s="1"/>
  <c r="T260"/>
  <c r="J259"/>
  <c r="P260"/>
  <c r="Q260"/>
  <c r="Q167"/>
  <c r="P167"/>
  <c r="T167"/>
  <c r="S231"/>
  <c r="N84"/>
  <c r="L5"/>
  <c r="M154"/>
  <c r="O155"/>
  <c r="P16"/>
  <c r="Q16"/>
  <c r="N272"/>
  <c r="N265" s="1"/>
  <c r="N264" s="1"/>
  <c r="O272"/>
  <c r="N48"/>
  <c r="P96"/>
  <c r="Q96"/>
  <c r="P288"/>
  <c r="Q288"/>
  <c r="T288"/>
  <c r="P240"/>
  <c r="Q240"/>
  <c r="P136"/>
  <c r="Q136"/>
  <c r="P162"/>
  <c r="Q162"/>
  <c r="T162"/>
  <c r="P237"/>
  <c r="Q237"/>
  <c r="P117"/>
  <c r="T117"/>
  <c r="Q117"/>
  <c r="J232"/>
  <c r="P233"/>
  <c r="Q233"/>
  <c r="T279"/>
  <c r="Q68"/>
  <c r="Q88"/>
  <c r="Q70"/>
  <c r="O57"/>
  <c r="N50"/>
  <c r="N290"/>
  <c r="N282" s="1"/>
  <c r="N281" s="1"/>
  <c r="O51"/>
  <c r="S51"/>
  <c r="G234"/>
  <c r="S235"/>
  <c r="G131"/>
  <c r="S132"/>
  <c r="P148"/>
  <c r="Q148"/>
  <c r="T148"/>
  <c r="N235"/>
  <c r="N234" s="1"/>
  <c r="O235"/>
  <c r="M234"/>
  <c r="O234" s="1"/>
  <c r="P83"/>
  <c r="Q83"/>
  <c r="P160"/>
  <c r="Q160"/>
  <c r="T160"/>
  <c r="M282"/>
  <c r="O290"/>
  <c r="P65"/>
  <c r="J55"/>
  <c r="P210"/>
  <c r="Q210"/>
  <c r="S107"/>
  <c r="O107"/>
  <c r="O106" s="1"/>
  <c r="P107"/>
  <c r="M106"/>
  <c r="J208"/>
  <c r="Q72"/>
  <c r="P61"/>
  <c r="J51"/>
  <c r="H180"/>
  <c r="G277"/>
  <c r="S278"/>
  <c r="T10"/>
  <c r="S10"/>
  <c r="G7"/>
  <c r="P183"/>
  <c r="Q183"/>
  <c r="J182"/>
  <c r="P151"/>
  <c r="O151"/>
  <c r="S151"/>
  <c r="M150"/>
  <c r="O40"/>
  <c r="S40"/>
  <c r="M39"/>
  <c r="O14"/>
  <c r="M13"/>
  <c r="H264"/>
  <c r="P283"/>
  <c r="Q283"/>
  <c r="T283"/>
  <c r="P159"/>
  <c r="Q159"/>
  <c r="T112"/>
  <c r="P112"/>
  <c r="Q112"/>
  <c r="J111"/>
  <c r="T111" s="1"/>
  <c r="T41"/>
  <c r="P41"/>
  <c r="J40"/>
  <c r="Q41"/>
  <c r="T20"/>
  <c r="N73"/>
  <c r="N54" s="1"/>
  <c r="Q90"/>
  <c r="Q43"/>
  <c r="T199"/>
  <c r="N71"/>
  <c r="N52" s="1"/>
  <c r="P22"/>
  <c r="Q22"/>
  <c r="T32"/>
  <c r="P32"/>
  <c r="Q32"/>
  <c r="Q15"/>
  <c r="P15"/>
  <c r="T15"/>
  <c r="J14"/>
  <c r="S155"/>
  <c r="G154"/>
  <c r="P24"/>
  <c r="Q24"/>
  <c r="T24"/>
  <c r="G207"/>
  <c r="S208"/>
  <c r="P220"/>
  <c r="Q220"/>
  <c r="T220"/>
  <c r="P157"/>
  <c r="Q157"/>
  <c r="J261"/>
  <c r="Q263"/>
  <c r="P263"/>
  <c r="O111"/>
  <c r="M110"/>
  <c r="O208"/>
  <c r="M207"/>
  <c r="P82"/>
  <c r="Q82"/>
  <c r="O283"/>
  <c r="S283"/>
  <c r="P242"/>
  <c r="Q242"/>
  <c r="O69"/>
  <c r="S69"/>
  <c r="J69"/>
  <c r="M50"/>
  <c r="O86"/>
  <c r="S86"/>
  <c r="J86"/>
  <c r="J49" s="1"/>
  <c r="M84"/>
  <c r="S84" s="1"/>
  <c r="Q35"/>
  <c r="H130"/>
  <c r="O84"/>
  <c r="T240"/>
  <c r="N111"/>
  <c r="N110" s="1"/>
  <c r="N109" s="1"/>
  <c r="T188"/>
  <c r="J176"/>
  <c r="N155"/>
  <c r="N154" s="1"/>
  <c r="N153" s="1"/>
  <c r="T190"/>
  <c r="M49"/>
  <c r="I95" i="88"/>
  <c r="I96"/>
  <c r="I97"/>
  <c r="I98"/>
  <c r="I99"/>
  <c r="I100"/>
  <c r="I101"/>
  <c r="I94"/>
  <c r="H95"/>
  <c r="H92"/>
  <c r="H91"/>
  <c r="H89"/>
  <c r="H88"/>
  <c r="H87"/>
  <c r="H86"/>
  <c r="H85"/>
  <c r="H74"/>
  <c r="H73"/>
  <c r="H72"/>
  <c r="H71"/>
  <c r="H70"/>
  <c r="H69"/>
  <c r="H68"/>
  <c r="H67"/>
  <c r="H65"/>
  <c r="H64"/>
  <c r="H63"/>
  <c r="H62"/>
  <c r="H61"/>
  <c r="H60"/>
  <c r="H59"/>
  <c r="H58"/>
  <c r="G14"/>
  <c r="J33"/>
  <c r="Q33" s="1"/>
  <c r="M33"/>
  <c r="S33" s="1"/>
  <c r="N33"/>
  <c r="M192"/>
  <c r="S192" s="1"/>
  <c r="Q192"/>
  <c r="J189"/>
  <c r="M200"/>
  <c r="J200" s="1"/>
  <c r="G201"/>
  <c r="G199"/>
  <c r="G194"/>
  <c r="G191"/>
  <c r="G183"/>
  <c r="K205"/>
  <c r="K204"/>
  <c r="K184"/>
  <c r="K185"/>
  <c r="K186"/>
  <c r="K187"/>
  <c r="K188"/>
  <c r="K189"/>
  <c r="K190"/>
  <c r="K191"/>
  <c r="K193"/>
  <c r="K194"/>
  <c r="K195"/>
  <c r="K196"/>
  <c r="K197"/>
  <c r="K198"/>
  <c r="K199"/>
  <c r="K201"/>
  <c r="K183"/>
  <c r="G273"/>
  <c r="H272"/>
  <c r="H271"/>
  <c r="H270"/>
  <c r="H267"/>
  <c r="H266"/>
  <c r="T132" i="89" l="1"/>
  <c r="P132"/>
  <c r="J131"/>
  <c r="J130" s="1"/>
  <c r="N66"/>
  <c r="P310"/>
  <c r="S310"/>
  <c r="N258"/>
  <c r="N230" s="1"/>
  <c r="N180"/>
  <c r="N47"/>
  <c r="N46" s="1"/>
  <c r="N45" s="1"/>
  <c r="N6" s="1"/>
  <c r="O42"/>
  <c r="S42"/>
  <c r="P42"/>
  <c r="P106"/>
  <c r="S106"/>
  <c r="S282"/>
  <c r="G281"/>
  <c r="P51"/>
  <c r="Q51"/>
  <c r="M180"/>
  <c r="O180" s="1"/>
  <c r="O181"/>
  <c r="Q208"/>
  <c r="J207"/>
  <c r="T207" s="1"/>
  <c r="P208"/>
  <c r="P255"/>
  <c r="J254"/>
  <c r="Q255"/>
  <c r="T255"/>
  <c r="Q228"/>
  <c r="P228"/>
  <c r="T228"/>
  <c r="J227"/>
  <c r="Q94"/>
  <c r="P94"/>
  <c r="J93"/>
  <c r="P14"/>
  <c r="J13"/>
  <c r="Q14"/>
  <c r="P67"/>
  <c r="J66"/>
  <c r="Q67"/>
  <c r="J48"/>
  <c r="S13"/>
  <c r="S150"/>
  <c r="P150"/>
  <c r="P57"/>
  <c r="Q57"/>
  <c r="S234"/>
  <c r="G230"/>
  <c r="O154"/>
  <c r="M153"/>
  <c r="O153" s="1"/>
  <c r="P76"/>
  <c r="Q76"/>
  <c r="J75"/>
  <c r="P73"/>
  <c r="J54"/>
  <c r="Q73"/>
  <c r="O39"/>
  <c r="S39"/>
  <c r="P71"/>
  <c r="J52"/>
  <c r="Q71"/>
  <c r="P7"/>
  <c r="Q7"/>
  <c r="P49"/>
  <c r="Q49"/>
  <c r="O66"/>
  <c r="S66"/>
  <c r="M47"/>
  <c r="O48"/>
  <c r="S48"/>
  <c r="O50"/>
  <c r="S50"/>
  <c r="G109"/>
  <c r="S110"/>
  <c r="P86"/>
  <c r="Q86"/>
  <c r="J84"/>
  <c r="G6"/>
  <c r="S7"/>
  <c r="T208"/>
  <c r="T14"/>
  <c r="P232"/>
  <c r="J231"/>
  <c r="Q232"/>
  <c r="O207"/>
  <c r="M206"/>
  <c r="O206" s="1"/>
  <c r="H46"/>
  <c r="P40"/>
  <c r="Q40"/>
  <c r="J39"/>
  <c r="T40"/>
  <c r="P259"/>
  <c r="Q259"/>
  <c r="T259"/>
  <c r="O13"/>
  <c r="Q235"/>
  <c r="J234"/>
  <c r="P235"/>
  <c r="S277"/>
  <c r="P265"/>
  <c r="J264"/>
  <c r="T265"/>
  <c r="O102"/>
  <c r="S102"/>
  <c r="S264"/>
  <c r="Q53"/>
  <c r="J277"/>
  <c r="T277" s="1"/>
  <c r="Q278"/>
  <c r="P278"/>
  <c r="G153"/>
  <c r="S154"/>
  <c r="P176"/>
  <c r="Q176"/>
  <c r="T176"/>
  <c r="J175"/>
  <c r="Q290"/>
  <c r="J282"/>
  <c r="T282" s="1"/>
  <c r="P290"/>
  <c r="O49"/>
  <c r="S49"/>
  <c r="J154"/>
  <c r="P155"/>
  <c r="Q155"/>
  <c r="G206"/>
  <c r="S207"/>
  <c r="H258"/>
  <c r="P69"/>
  <c r="J50"/>
  <c r="Q69"/>
  <c r="M281"/>
  <c r="O281" s="1"/>
  <c r="O282"/>
  <c r="O54"/>
  <c r="S54"/>
  <c r="P55"/>
  <c r="Q55"/>
  <c r="O52"/>
  <c r="S52"/>
  <c r="G130"/>
  <c r="S131"/>
  <c r="M258"/>
  <c r="P203"/>
  <c r="J202"/>
  <c r="Q203"/>
  <c r="T203"/>
  <c r="O131"/>
  <c r="M130"/>
  <c r="O130" s="1"/>
  <c r="P102"/>
  <c r="T102"/>
  <c r="Q102"/>
  <c r="P261"/>
  <c r="T261"/>
  <c r="Q261"/>
  <c r="O110"/>
  <c r="M109"/>
  <c r="O109" s="1"/>
  <c r="P111"/>
  <c r="J110"/>
  <c r="Q111"/>
  <c r="P182"/>
  <c r="Q182"/>
  <c r="J181"/>
  <c r="T182"/>
  <c r="T278"/>
  <c r="T235"/>
  <c r="O33" i="88"/>
  <c r="P33"/>
  <c r="N192"/>
  <c r="O192"/>
  <c r="P192"/>
  <c r="N200"/>
  <c r="O200"/>
  <c r="T131" i="89" l="1"/>
  <c r="P131"/>
  <c r="Q131"/>
  <c r="P130"/>
  <c r="N5"/>
  <c r="P231"/>
  <c r="Q231"/>
  <c r="P175"/>
  <c r="Q175"/>
  <c r="P227"/>
  <c r="Q227"/>
  <c r="P13"/>
  <c r="Q13"/>
  <c r="S206"/>
  <c r="T206"/>
  <c r="P75"/>
  <c r="Q75"/>
  <c r="O258"/>
  <c r="S258"/>
  <c r="S109"/>
  <c r="S153"/>
  <c r="P93"/>
  <c r="Q93"/>
  <c r="J109"/>
  <c r="P110"/>
  <c r="Q110"/>
  <c r="H45"/>
  <c r="P154"/>
  <c r="J153"/>
  <c r="T153" s="1"/>
  <c r="Q154"/>
  <c r="P254"/>
  <c r="Q254"/>
  <c r="T110"/>
  <c r="T154"/>
  <c r="P234"/>
  <c r="Q234"/>
  <c r="P282"/>
  <c r="Q282"/>
  <c r="J281"/>
  <c r="O47"/>
  <c r="M46"/>
  <c r="S47"/>
  <c r="P264"/>
  <c r="T264"/>
  <c r="S281"/>
  <c r="T281"/>
  <c r="P39"/>
  <c r="Q39"/>
  <c r="T39"/>
  <c r="P66"/>
  <c r="Q66"/>
  <c r="P48"/>
  <c r="J47"/>
  <c r="Q48"/>
  <c r="P277"/>
  <c r="Q277"/>
  <c r="P207"/>
  <c r="J206"/>
  <c r="Q207"/>
  <c r="G5"/>
  <c r="P50"/>
  <c r="Q50"/>
  <c r="Q264"/>
  <c r="T13"/>
  <c r="J258"/>
  <c r="J230" s="1"/>
  <c r="S130"/>
  <c r="T130"/>
  <c r="Q181"/>
  <c r="P181"/>
  <c r="J180"/>
  <c r="T181"/>
  <c r="P54"/>
  <c r="Q54"/>
  <c r="P202"/>
  <c r="Q202"/>
  <c r="H230"/>
  <c r="P84"/>
  <c r="Q84"/>
  <c r="P52"/>
  <c r="Q52"/>
  <c r="T234"/>
  <c r="M230"/>
  <c r="O230" s="1"/>
  <c r="Q130"/>
  <c r="S180"/>
  <c r="G256" i="88"/>
  <c r="K280"/>
  <c r="K279"/>
  <c r="K267"/>
  <c r="K268"/>
  <c r="K269"/>
  <c r="K270"/>
  <c r="K271"/>
  <c r="K272"/>
  <c r="K273"/>
  <c r="K274"/>
  <c r="K275"/>
  <c r="K266"/>
  <c r="K263"/>
  <c r="K262"/>
  <c r="K260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36"/>
  <c r="G32"/>
  <c r="G22"/>
  <c r="G20"/>
  <c r="G18"/>
  <c r="G16"/>
  <c r="G15"/>
  <c r="K95"/>
  <c r="K96"/>
  <c r="K97"/>
  <c r="K98"/>
  <c r="K99"/>
  <c r="K100"/>
  <c r="K101"/>
  <c r="K94"/>
  <c r="K86"/>
  <c r="K87"/>
  <c r="K88"/>
  <c r="K89"/>
  <c r="K90"/>
  <c r="K91"/>
  <c r="K92"/>
  <c r="K85"/>
  <c r="K77"/>
  <c r="K78"/>
  <c r="K79"/>
  <c r="K80"/>
  <c r="K81"/>
  <c r="K82"/>
  <c r="K83"/>
  <c r="K76"/>
  <c r="K68"/>
  <c r="K69"/>
  <c r="K70"/>
  <c r="K71"/>
  <c r="K72"/>
  <c r="K73"/>
  <c r="K74"/>
  <c r="K67"/>
  <c r="K59"/>
  <c r="K60"/>
  <c r="K61"/>
  <c r="K62"/>
  <c r="K63"/>
  <c r="K64"/>
  <c r="K65"/>
  <c r="K58"/>
  <c r="K108"/>
  <c r="K105"/>
  <c r="K104"/>
  <c r="K16"/>
  <c r="K17"/>
  <c r="K18"/>
  <c r="K19"/>
  <c r="K20"/>
  <c r="K21"/>
  <c r="K22"/>
  <c r="K23"/>
  <c r="K24"/>
  <c r="K25"/>
  <c r="K26"/>
  <c r="K27"/>
  <c r="K28"/>
  <c r="K29"/>
  <c r="K30"/>
  <c r="K31"/>
  <c r="K32"/>
  <c r="K34"/>
  <c r="K35"/>
  <c r="K36"/>
  <c r="K37"/>
  <c r="K38"/>
  <c r="K15"/>
  <c r="K12"/>
  <c r="K11"/>
  <c r="K9"/>
  <c r="K311"/>
  <c r="M311" s="1"/>
  <c r="G311"/>
  <c r="Q311"/>
  <c r="G299"/>
  <c r="G298"/>
  <c r="G296"/>
  <c r="G295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291"/>
  <c r="G294"/>
  <c r="G291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12"/>
  <c r="G140"/>
  <c r="G138"/>
  <c r="G137"/>
  <c r="G136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33"/>
  <c r="G133"/>
  <c r="G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56"/>
  <c r="P230" i="89" l="1"/>
  <c r="P258"/>
  <c r="T258"/>
  <c r="P109"/>
  <c r="Q109"/>
  <c r="H6"/>
  <c r="T230"/>
  <c r="M45"/>
  <c r="O46"/>
  <c r="S46"/>
  <c r="P47"/>
  <c r="J46"/>
  <c r="Q47"/>
  <c r="P206"/>
  <c r="Q206"/>
  <c r="T109"/>
  <c r="Q258"/>
  <c r="P153"/>
  <c r="Q153"/>
  <c r="P180"/>
  <c r="Q180"/>
  <c r="T180"/>
  <c r="P281"/>
  <c r="Q281"/>
  <c r="S230"/>
  <c r="Q230"/>
  <c r="N311" i="88"/>
  <c r="P311"/>
  <c r="S311"/>
  <c r="H5" i="89" l="1"/>
  <c r="O45"/>
  <c r="S45"/>
  <c r="M6"/>
  <c r="P46"/>
  <c r="J45"/>
  <c r="Q46"/>
  <c r="K210" i="88"/>
  <c r="M210" s="1"/>
  <c r="K211"/>
  <c r="M211" s="1"/>
  <c r="S211" s="1"/>
  <c r="K212"/>
  <c r="M212" s="1"/>
  <c r="K213"/>
  <c r="M213" s="1"/>
  <c r="K214"/>
  <c r="M214" s="1"/>
  <c r="K215"/>
  <c r="M215" s="1"/>
  <c r="K216"/>
  <c r="M216" s="1"/>
  <c r="K217"/>
  <c r="M217" s="1"/>
  <c r="K218"/>
  <c r="M218" s="1"/>
  <c r="O218" s="1"/>
  <c r="K219"/>
  <c r="M219" s="1"/>
  <c r="J219" s="1"/>
  <c r="K220"/>
  <c r="M220" s="1"/>
  <c r="S220" s="1"/>
  <c r="K221"/>
  <c r="M221" s="1"/>
  <c r="J221" s="1"/>
  <c r="K222"/>
  <c r="M222" s="1"/>
  <c r="K223"/>
  <c r="M223" s="1"/>
  <c r="K224"/>
  <c r="M224" s="1"/>
  <c r="K225"/>
  <c r="M225" s="1"/>
  <c r="K226"/>
  <c r="K227"/>
  <c r="K228"/>
  <c r="K229"/>
  <c r="M229" s="1"/>
  <c r="K209"/>
  <c r="S313"/>
  <c r="Q313"/>
  <c r="P313"/>
  <c r="O313"/>
  <c r="N313"/>
  <c r="M313"/>
  <c r="S312"/>
  <c r="Q312"/>
  <c r="N312"/>
  <c r="M312"/>
  <c r="P312" s="1"/>
  <c r="L310"/>
  <c r="K310"/>
  <c r="I310"/>
  <c r="I309" s="1"/>
  <c r="H310"/>
  <c r="H309" s="1"/>
  <c r="G310"/>
  <c r="G309" s="1"/>
  <c r="K309"/>
  <c r="M308"/>
  <c r="N307"/>
  <c r="M307"/>
  <c r="J307" s="1"/>
  <c r="T306"/>
  <c r="Q306"/>
  <c r="M306"/>
  <c r="N306" s="1"/>
  <c r="Q305"/>
  <c r="M305"/>
  <c r="M304"/>
  <c r="O304" s="1"/>
  <c r="S303"/>
  <c r="N303"/>
  <c r="M303"/>
  <c r="O303" s="1"/>
  <c r="T302"/>
  <c r="Q302"/>
  <c r="L290"/>
  <c r="L282" s="1"/>
  <c r="L281" s="1"/>
  <c r="M302"/>
  <c r="M301"/>
  <c r="N300"/>
  <c r="M300"/>
  <c r="J300" s="1"/>
  <c r="M299"/>
  <c r="S299" s="1"/>
  <c r="M298"/>
  <c r="M297"/>
  <c r="M296"/>
  <c r="M295"/>
  <c r="J295" s="1"/>
  <c r="M294"/>
  <c r="O293"/>
  <c r="N293"/>
  <c r="M293"/>
  <c r="J293" s="1"/>
  <c r="G293"/>
  <c r="M292"/>
  <c r="J292" s="1"/>
  <c r="N291"/>
  <c r="M291"/>
  <c r="O291" s="1"/>
  <c r="G290"/>
  <c r="K290"/>
  <c r="I290"/>
  <c r="I282" s="1"/>
  <c r="H290"/>
  <c r="H282" s="1"/>
  <c r="K289"/>
  <c r="M289" s="1"/>
  <c r="K288"/>
  <c r="M288" s="1"/>
  <c r="K287"/>
  <c r="M287" s="1"/>
  <c r="S287" s="1"/>
  <c r="K286"/>
  <c r="M286" s="1"/>
  <c r="O286" s="1"/>
  <c r="K285"/>
  <c r="M285" s="1"/>
  <c r="K284"/>
  <c r="M284" s="1"/>
  <c r="L283"/>
  <c r="K283"/>
  <c r="I283"/>
  <c r="H283"/>
  <c r="G283"/>
  <c r="K282"/>
  <c r="K281"/>
  <c r="M280"/>
  <c r="J280" s="1"/>
  <c r="M279"/>
  <c r="N279" s="1"/>
  <c r="K278"/>
  <c r="K277" s="1"/>
  <c r="G279"/>
  <c r="G278" s="1"/>
  <c r="L278"/>
  <c r="L277" s="1"/>
  <c r="I278"/>
  <c r="I277" s="1"/>
  <c r="H278"/>
  <c r="H277" s="1"/>
  <c r="M275"/>
  <c r="G275"/>
  <c r="M274"/>
  <c r="O274" s="1"/>
  <c r="M273"/>
  <c r="M272"/>
  <c r="I272"/>
  <c r="G272"/>
  <c r="M271"/>
  <c r="J271" s="1"/>
  <c r="P271" s="1"/>
  <c r="I271"/>
  <c r="M270"/>
  <c r="J270" s="1"/>
  <c r="I270"/>
  <c r="M269"/>
  <c r="J269" s="1"/>
  <c r="I269"/>
  <c r="M268"/>
  <c r="I268"/>
  <c r="M267"/>
  <c r="I267"/>
  <c r="M266"/>
  <c r="S266" s="1"/>
  <c r="I266"/>
  <c r="L265"/>
  <c r="H265"/>
  <c r="G265"/>
  <c r="M263"/>
  <c r="N263" s="1"/>
  <c r="M262"/>
  <c r="S262" s="1"/>
  <c r="G262"/>
  <c r="L261"/>
  <c r="K261"/>
  <c r="I261"/>
  <c r="H261"/>
  <c r="G261"/>
  <c r="M260"/>
  <c r="J260" s="1"/>
  <c r="G260"/>
  <c r="G259" s="1"/>
  <c r="L259"/>
  <c r="K259"/>
  <c r="I259"/>
  <c r="H259"/>
  <c r="N257"/>
  <c r="M257"/>
  <c r="O257" s="1"/>
  <c r="K257"/>
  <c r="K256"/>
  <c r="M256" s="1"/>
  <c r="L255"/>
  <c r="L254" s="1"/>
  <c r="K255"/>
  <c r="I255"/>
  <c r="I254" s="1"/>
  <c r="H255"/>
  <c r="H254" s="1"/>
  <c r="G255"/>
  <c r="G254" s="1"/>
  <c r="K254"/>
  <c r="M253"/>
  <c r="G253"/>
  <c r="M252"/>
  <c r="J252" s="1"/>
  <c r="G252"/>
  <c r="O251"/>
  <c r="N251"/>
  <c r="M251"/>
  <c r="J251" s="1"/>
  <c r="M250"/>
  <c r="G250"/>
  <c r="Q249"/>
  <c r="P249"/>
  <c r="O249"/>
  <c r="M249"/>
  <c r="N249" s="1"/>
  <c r="G249"/>
  <c r="T248"/>
  <c r="Q248"/>
  <c r="M248"/>
  <c r="Q247"/>
  <c r="M247"/>
  <c r="N247" s="1"/>
  <c r="G247"/>
  <c r="M246"/>
  <c r="T245"/>
  <c r="Q245"/>
  <c r="M245"/>
  <c r="T244"/>
  <c r="Q244"/>
  <c r="M244"/>
  <c r="N244" s="1"/>
  <c r="G244"/>
  <c r="M243"/>
  <c r="J243" s="1"/>
  <c r="G243"/>
  <c r="O242"/>
  <c r="M242"/>
  <c r="S242" s="1"/>
  <c r="M241"/>
  <c r="G241"/>
  <c r="M240"/>
  <c r="J240" s="1"/>
  <c r="G240"/>
  <c r="M239"/>
  <c r="J239" s="1"/>
  <c r="G239"/>
  <c r="O238"/>
  <c r="M238"/>
  <c r="S238" s="1"/>
  <c r="N237"/>
  <c r="M237"/>
  <c r="O237" s="1"/>
  <c r="M236"/>
  <c r="G236"/>
  <c r="G235" s="1"/>
  <c r="L235"/>
  <c r="L234" s="1"/>
  <c r="I235"/>
  <c r="I234" s="1"/>
  <c r="H235"/>
  <c r="H234" s="1"/>
  <c r="K233"/>
  <c r="M233" s="1"/>
  <c r="L232"/>
  <c r="L231" s="1"/>
  <c r="K232"/>
  <c r="I232"/>
  <c r="I231" s="1"/>
  <c r="H232"/>
  <c r="H231" s="1"/>
  <c r="G232"/>
  <c r="K231"/>
  <c r="G231"/>
  <c r="K230"/>
  <c r="L228"/>
  <c r="I228"/>
  <c r="H228"/>
  <c r="G228"/>
  <c r="L227"/>
  <c r="I227"/>
  <c r="H227"/>
  <c r="G227"/>
  <c r="M226"/>
  <c r="J226" s="1"/>
  <c r="T224"/>
  <c r="Q224"/>
  <c r="G224"/>
  <c r="T223"/>
  <c r="Q223"/>
  <c r="T222"/>
  <c r="Q222"/>
  <c r="G218"/>
  <c r="T217"/>
  <c r="Q217"/>
  <c r="L208"/>
  <c r="L207" s="1"/>
  <c r="L206" s="1"/>
  <c r="I208"/>
  <c r="I207" s="1"/>
  <c r="I206" s="1"/>
  <c r="H208"/>
  <c r="H207" s="1"/>
  <c r="H206" s="1"/>
  <c r="Q205"/>
  <c r="N205"/>
  <c r="M205"/>
  <c r="O205" s="1"/>
  <c r="M204"/>
  <c r="L203"/>
  <c r="L202" s="1"/>
  <c r="K203"/>
  <c r="I203"/>
  <c r="I202" s="1"/>
  <c r="H203"/>
  <c r="G203"/>
  <c r="K202"/>
  <c r="G202"/>
  <c r="M201"/>
  <c r="M199"/>
  <c r="J199" s="1"/>
  <c r="T198"/>
  <c r="Q198"/>
  <c r="P198"/>
  <c r="O198"/>
  <c r="M198"/>
  <c r="N198" s="1"/>
  <c r="G198"/>
  <c r="T197"/>
  <c r="Q197"/>
  <c r="M197"/>
  <c r="N197" s="1"/>
  <c r="G197"/>
  <c r="T196"/>
  <c r="Q196"/>
  <c r="M196"/>
  <c r="S196" s="1"/>
  <c r="S195"/>
  <c r="M195"/>
  <c r="J195" s="1"/>
  <c r="Q194"/>
  <c r="M194"/>
  <c r="O194" s="1"/>
  <c r="N193"/>
  <c r="M193"/>
  <c r="O193" s="1"/>
  <c r="Q191"/>
  <c r="M191"/>
  <c r="M190"/>
  <c r="G190"/>
  <c r="Q189"/>
  <c r="M189"/>
  <c r="G189"/>
  <c r="M188"/>
  <c r="G188"/>
  <c r="M187"/>
  <c r="G187"/>
  <c r="M186"/>
  <c r="M185"/>
  <c r="J185" s="1"/>
  <c r="M184"/>
  <c r="S184" s="1"/>
  <c r="S183"/>
  <c r="M183"/>
  <c r="J183" s="1"/>
  <c r="L182"/>
  <c r="L181" s="1"/>
  <c r="I182"/>
  <c r="I181" s="1"/>
  <c r="H182"/>
  <c r="H181" s="1"/>
  <c r="K181"/>
  <c r="K179"/>
  <c r="M179" s="1"/>
  <c r="K178"/>
  <c r="M178" s="1"/>
  <c r="K177"/>
  <c r="M177" s="1"/>
  <c r="L176"/>
  <c r="L175" s="1"/>
  <c r="K176"/>
  <c r="I176"/>
  <c r="I175" s="1"/>
  <c r="H176"/>
  <c r="G176"/>
  <c r="G175" s="1"/>
  <c r="K175"/>
  <c r="S174"/>
  <c r="O174"/>
  <c r="M174"/>
  <c r="J174" s="1"/>
  <c r="G174"/>
  <c r="M173"/>
  <c r="J173" s="1"/>
  <c r="M172"/>
  <c r="S172" s="1"/>
  <c r="T171"/>
  <c r="Q171"/>
  <c r="M171"/>
  <c r="N171" s="1"/>
  <c r="G171"/>
  <c r="Q170"/>
  <c r="M170"/>
  <c r="O170" s="1"/>
  <c r="G170"/>
  <c r="G155" s="1"/>
  <c r="T169"/>
  <c r="Q169"/>
  <c r="M169"/>
  <c r="O169" s="1"/>
  <c r="M168"/>
  <c r="M167"/>
  <c r="J167" s="1"/>
  <c r="T166"/>
  <c r="Q166"/>
  <c r="M166"/>
  <c r="O166" s="1"/>
  <c r="M165"/>
  <c r="S165" s="1"/>
  <c r="T164"/>
  <c r="Q164"/>
  <c r="M164"/>
  <c r="M163"/>
  <c r="O163" s="1"/>
  <c r="M162"/>
  <c r="O162" s="1"/>
  <c r="M161"/>
  <c r="M160"/>
  <c r="N159"/>
  <c r="M159"/>
  <c r="J159" s="1"/>
  <c r="M158"/>
  <c r="M157"/>
  <c r="M156"/>
  <c r="S156" s="1"/>
  <c r="K155"/>
  <c r="L155"/>
  <c r="L154" s="1"/>
  <c r="L153" s="1"/>
  <c r="I155"/>
  <c r="I154" s="1"/>
  <c r="H155"/>
  <c r="H154" s="1"/>
  <c r="K154"/>
  <c r="Q152"/>
  <c r="M152"/>
  <c r="L151"/>
  <c r="J151"/>
  <c r="I151"/>
  <c r="I150" s="1"/>
  <c r="H151"/>
  <c r="Q151" s="1"/>
  <c r="G151"/>
  <c r="G150" s="1"/>
  <c r="L150"/>
  <c r="J150"/>
  <c r="M149"/>
  <c r="N149" s="1"/>
  <c r="M148"/>
  <c r="J148" s="1"/>
  <c r="Q147"/>
  <c r="M147"/>
  <c r="G147"/>
  <c r="T146"/>
  <c r="Q146"/>
  <c r="M146"/>
  <c r="O146" s="1"/>
  <c r="G146"/>
  <c r="G132" s="1"/>
  <c r="T145"/>
  <c r="Q145"/>
  <c r="M145"/>
  <c r="O145" s="1"/>
  <c r="M144"/>
  <c r="S144" s="1"/>
  <c r="M143"/>
  <c r="T142"/>
  <c r="Q142"/>
  <c r="M142"/>
  <c r="P142" s="1"/>
  <c r="T141"/>
  <c r="Q141"/>
  <c r="M141"/>
  <c r="O141" s="1"/>
  <c r="M140"/>
  <c r="N139"/>
  <c r="M139"/>
  <c r="J139" s="1"/>
  <c r="M138"/>
  <c r="J138" s="1"/>
  <c r="M137"/>
  <c r="M136"/>
  <c r="M135"/>
  <c r="S135" s="1"/>
  <c r="N134"/>
  <c r="M134"/>
  <c r="O134" s="1"/>
  <c r="M133"/>
  <c r="L132"/>
  <c r="L131" s="1"/>
  <c r="L130" s="1"/>
  <c r="K132"/>
  <c r="I132"/>
  <c r="I131" s="1"/>
  <c r="H132"/>
  <c r="H131" s="1"/>
  <c r="K131"/>
  <c r="K130"/>
  <c r="M129"/>
  <c r="J129" s="1"/>
  <c r="G129"/>
  <c r="Q128"/>
  <c r="M128"/>
  <c r="O128" s="1"/>
  <c r="N127"/>
  <c r="M127"/>
  <c r="S127" s="1"/>
  <c r="Q126"/>
  <c r="M126"/>
  <c r="G126"/>
  <c r="Q125"/>
  <c r="N125"/>
  <c r="M125"/>
  <c r="P125" s="1"/>
  <c r="G125"/>
  <c r="T125" s="1"/>
  <c r="T124"/>
  <c r="Q124"/>
  <c r="M124"/>
  <c r="M123"/>
  <c r="T122"/>
  <c r="Q122"/>
  <c r="M122"/>
  <c r="G122"/>
  <c r="T121"/>
  <c r="Q121"/>
  <c r="M121"/>
  <c r="Q120"/>
  <c r="M120"/>
  <c r="G120"/>
  <c r="T120" s="1"/>
  <c r="M119"/>
  <c r="M118"/>
  <c r="S118" s="1"/>
  <c r="M117"/>
  <c r="J117" s="1"/>
  <c r="N116"/>
  <c r="M116"/>
  <c r="O116" s="1"/>
  <c r="M115"/>
  <c r="J115" s="1"/>
  <c r="M114"/>
  <c r="S113"/>
  <c r="M113"/>
  <c r="J113" s="1"/>
  <c r="M112"/>
  <c r="J112" s="1"/>
  <c r="L111"/>
  <c r="L110" s="1"/>
  <c r="L109" s="1"/>
  <c r="I111"/>
  <c r="I110" s="1"/>
  <c r="I109" s="1"/>
  <c r="H111"/>
  <c r="H110" s="1"/>
  <c r="K110"/>
  <c r="K109"/>
  <c r="T108"/>
  <c r="Q108"/>
  <c r="M108"/>
  <c r="T107"/>
  <c r="Q107"/>
  <c r="L107"/>
  <c r="L106" s="1"/>
  <c r="K107"/>
  <c r="J107"/>
  <c r="I107"/>
  <c r="I106" s="1"/>
  <c r="H107"/>
  <c r="G107"/>
  <c r="T106"/>
  <c r="Q106"/>
  <c r="K106"/>
  <c r="J106"/>
  <c r="H106"/>
  <c r="G106"/>
  <c r="M105"/>
  <c r="M104"/>
  <c r="N104" s="1"/>
  <c r="L103"/>
  <c r="K103"/>
  <c r="I103"/>
  <c r="I102" s="1"/>
  <c r="H103"/>
  <c r="H102" s="1"/>
  <c r="G103"/>
  <c r="G102" s="1"/>
  <c r="L102"/>
  <c r="K102"/>
  <c r="M101"/>
  <c r="O101" s="1"/>
  <c r="S100"/>
  <c r="M100"/>
  <c r="J100" s="1"/>
  <c r="M99"/>
  <c r="M98"/>
  <c r="M97"/>
  <c r="M96"/>
  <c r="O96" s="1"/>
  <c r="K93"/>
  <c r="M95"/>
  <c r="J95" s="1"/>
  <c r="M94"/>
  <c r="L93"/>
  <c r="I93"/>
  <c r="H93"/>
  <c r="G93"/>
  <c r="M92"/>
  <c r="I92"/>
  <c r="M91"/>
  <c r="J91" s="1"/>
  <c r="I91"/>
  <c r="M90"/>
  <c r="I90"/>
  <c r="H90"/>
  <c r="N89"/>
  <c r="M89"/>
  <c r="J89" s="1"/>
  <c r="I89"/>
  <c r="M88"/>
  <c r="I88"/>
  <c r="M87"/>
  <c r="J87" s="1"/>
  <c r="I87"/>
  <c r="M86"/>
  <c r="J86" s="1"/>
  <c r="P86" s="1"/>
  <c r="I86"/>
  <c r="H84"/>
  <c r="M85"/>
  <c r="K84"/>
  <c r="I85"/>
  <c r="L84"/>
  <c r="G84"/>
  <c r="M83"/>
  <c r="J83" s="1"/>
  <c r="M82"/>
  <c r="I82"/>
  <c r="I75" s="1"/>
  <c r="M81"/>
  <c r="J81" s="1"/>
  <c r="M80"/>
  <c r="N79"/>
  <c r="M79"/>
  <c r="S79" s="1"/>
  <c r="M78"/>
  <c r="O78" s="1"/>
  <c r="M77"/>
  <c r="M76"/>
  <c r="O76" s="1"/>
  <c r="O75" s="1"/>
  <c r="K75"/>
  <c r="L75"/>
  <c r="H75"/>
  <c r="G75"/>
  <c r="M74"/>
  <c r="J74" s="1"/>
  <c r="I74"/>
  <c r="M73"/>
  <c r="J73" s="1"/>
  <c r="P73" s="1"/>
  <c r="I73"/>
  <c r="M72"/>
  <c r="J72" s="1"/>
  <c r="I72"/>
  <c r="M71"/>
  <c r="J71" s="1"/>
  <c r="P71" s="1"/>
  <c r="I71"/>
  <c r="M70"/>
  <c r="J70" s="1"/>
  <c r="K51"/>
  <c r="I70"/>
  <c r="M69"/>
  <c r="J69" s="1"/>
  <c r="P69" s="1"/>
  <c r="S68"/>
  <c r="O68"/>
  <c r="M68"/>
  <c r="J68" s="1"/>
  <c r="K49"/>
  <c r="I68"/>
  <c r="M67"/>
  <c r="J67" s="1"/>
  <c r="I67"/>
  <c r="L66"/>
  <c r="G66"/>
  <c r="M65"/>
  <c r="I65"/>
  <c r="K54"/>
  <c r="I64"/>
  <c r="M63"/>
  <c r="I63"/>
  <c r="K52"/>
  <c r="H52"/>
  <c r="M61"/>
  <c r="J61" s="1"/>
  <c r="I61"/>
  <c r="M60"/>
  <c r="I60"/>
  <c r="M59"/>
  <c r="I59"/>
  <c r="H49"/>
  <c r="M58"/>
  <c r="I58"/>
  <c r="L57"/>
  <c r="K57"/>
  <c r="G57"/>
  <c r="L55"/>
  <c r="K55"/>
  <c r="G55"/>
  <c r="L54"/>
  <c r="G54"/>
  <c r="L53"/>
  <c r="K53"/>
  <c r="G53"/>
  <c r="L52"/>
  <c r="G52"/>
  <c r="L51"/>
  <c r="G51"/>
  <c r="L50"/>
  <c r="K50"/>
  <c r="G50"/>
  <c r="L49"/>
  <c r="G49"/>
  <c r="L48"/>
  <c r="K48"/>
  <c r="G48"/>
  <c r="K47"/>
  <c r="G47"/>
  <c r="K46"/>
  <c r="K45"/>
  <c r="K44"/>
  <c r="M44" s="1"/>
  <c r="K43"/>
  <c r="I43"/>
  <c r="I42" s="1"/>
  <c r="H43"/>
  <c r="G43"/>
  <c r="G42" s="1"/>
  <c r="K42"/>
  <c r="K41"/>
  <c r="M41" s="1"/>
  <c r="S41" s="1"/>
  <c r="K40"/>
  <c r="I40"/>
  <c r="H40"/>
  <c r="H39" s="1"/>
  <c r="G40"/>
  <c r="L39"/>
  <c r="K39"/>
  <c r="I39"/>
  <c r="G39"/>
  <c r="M38"/>
  <c r="J38" s="1"/>
  <c r="N37"/>
  <c r="M37"/>
  <c r="S37" s="1"/>
  <c r="T36"/>
  <c r="Q36"/>
  <c r="M36"/>
  <c r="O36" s="1"/>
  <c r="L35"/>
  <c r="I35"/>
  <c r="H35"/>
  <c r="G35"/>
  <c r="M34"/>
  <c r="N32"/>
  <c r="M32"/>
  <c r="J32" s="1"/>
  <c r="T31"/>
  <c r="Q31"/>
  <c r="M31"/>
  <c r="N31" s="1"/>
  <c r="G31"/>
  <c r="T30"/>
  <c r="Q30"/>
  <c r="M30"/>
  <c r="O30" s="1"/>
  <c r="T29"/>
  <c r="Q29"/>
  <c r="M29"/>
  <c r="N29" s="1"/>
  <c r="M28"/>
  <c r="M27"/>
  <c r="J27" s="1"/>
  <c r="T27" s="1"/>
  <c r="T26"/>
  <c r="Q26"/>
  <c r="M26"/>
  <c r="N26" s="1"/>
  <c r="M25"/>
  <c r="S25" s="1"/>
  <c r="M24"/>
  <c r="J24" s="1"/>
  <c r="M23"/>
  <c r="O23" s="1"/>
  <c r="M22"/>
  <c r="O22" s="1"/>
  <c r="M21"/>
  <c r="S20"/>
  <c r="M20"/>
  <c r="J20" s="1"/>
  <c r="M18"/>
  <c r="M17"/>
  <c r="M16"/>
  <c r="J16" s="1"/>
  <c r="M15"/>
  <c r="L14"/>
  <c r="L13" s="1"/>
  <c r="I14"/>
  <c r="I13" s="1"/>
  <c r="H14"/>
  <c r="H13" s="1"/>
  <c r="K13"/>
  <c r="M12"/>
  <c r="G12"/>
  <c r="G10" s="1"/>
  <c r="T11"/>
  <c r="Q11"/>
  <c r="M11"/>
  <c r="S11" s="1"/>
  <c r="L10"/>
  <c r="K10"/>
  <c r="I10"/>
  <c r="H10"/>
  <c r="M9"/>
  <c r="S9" s="1"/>
  <c r="L8"/>
  <c r="L7" s="1"/>
  <c r="K8"/>
  <c r="I8"/>
  <c r="I7" s="1"/>
  <c r="H8"/>
  <c r="G8"/>
  <c r="K7"/>
  <c r="H7"/>
  <c r="K6"/>
  <c r="H91" i="87"/>
  <c r="H90"/>
  <c r="H89"/>
  <c r="H88"/>
  <c r="H87"/>
  <c r="H86"/>
  <c r="H85"/>
  <c r="H84"/>
  <c r="H67"/>
  <c r="H69"/>
  <c r="H73"/>
  <c r="H72"/>
  <c r="H71"/>
  <c r="H70"/>
  <c r="H68"/>
  <c r="H66"/>
  <c r="H64"/>
  <c r="H63"/>
  <c r="H62"/>
  <c r="H61"/>
  <c r="H60"/>
  <c r="H59"/>
  <c r="H58"/>
  <c r="H57"/>
  <c r="M5" i="89" l="1"/>
  <c r="O6"/>
  <c r="S6"/>
  <c r="P45"/>
  <c r="T45"/>
  <c r="J6"/>
  <c r="Q45"/>
  <c r="N85" i="88"/>
  <c r="S29"/>
  <c r="L180"/>
  <c r="J178"/>
  <c r="P178" s="1"/>
  <c r="S178"/>
  <c r="K180"/>
  <c r="N11"/>
  <c r="S24"/>
  <c r="N170"/>
  <c r="N23"/>
  <c r="S70"/>
  <c r="O79"/>
  <c r="N163"/>
  <c r="S146"/>
  <c r="S167"/>
  <c r="N41"/>
  <c r="N40" s="1"/>
  <c r="N39" s="1"/>
  <c r="N167"/>
  <c r="S226"/>
  <c r="P31"/>
  <c r="N144"/>
  <c r="N242"/>
  <c r="N112"/>
  <c r="S274"/>
  <c r="N194"/>
  <c r="S205"/>
  <c r="P205"/>
  <c r="N275"/>
  <c r="T219"/>
  <c r="Q219"/>
  <c r="O224"/>
  <c r="N224"/>
  <c r="O201"/>
  <c r="N201"/>
  <c r="S289"/>
  <c r="N289"/>
  <c r="O289"/>
  <c r="S169"/>
  <c r="N25"/>
  <c r="O32"/>
  <c r="O81"/>
  <c r="S104"/>
  <c r="O127"/>
  <c r="N169"/>
  <c r="O244"/>
  <c r="N286"/>
  <c r="S293"/>
  <c r="S76"/>
  <c r="S91"/>
  <c r="O37"/>
  <c r="N91"/>
  <c r="N101"/>
  <c r="N142"/>
  <c r="N238"/>
  <c r="S307"/>
  <c r="O41"/>
  <c r="O83"/>
  <c r="S89"/>
  <c r="N96"/>
  <c r="S251"/>
  <c r="O307"/>
  <c r="M278"/>
  <c r="M277" s="1"/>
  <c r="N271"/>
  <c r="S270"/>
  <c r="O270"/>
  <c r="M261"/>
  <c r="S261" s="1"/>
  <c r="O266"/>
  <c r="N266"/>
  <c r="L258"/>
  <c r="L230" s="1"/>
  <c r="M259"/>
  <c r="O259" s="1"/>
  <c r="N252"/>
  <c r="O252"/>
  <c r="P251"/>
  <c r="Q251"/>
  <c r="S239"/>
  <c r="S252"/>
  <c r="N22"/>
  <c r="S16"/>
  <c r="J214"/>
  <c r="T214" s="1"/>
  <c r="O214"/>
  <c r="N214"/>
  <c r="J246"/>
  <c r="Q246" s="1"/>
  <c r="S246"/>
  <c r="N248"/>
  <c r="S248"/>
  <c r="P248"/>
  <c r="O188"/>
  <c r="N188"/>
  <c r="S188"/>
  <c r="J188"/>
  <c r="J186"/>
  <c r="P186" s="1"/>
  <c r="O186"/>
  <c r="S186"/>
  <c r="S245"/>
  <c r="N245"/>
  <c r="O245"/>
  <c r="P245"/>
  <c r="J273"/>
  <c r="P273" s="1"/>
  <c r="N273"/>
  <c r="O222"/>
  <c r="P222"/>
  <c r="N222"/>
  <c r="S222"/>
  <c r="J275"/>
  <c r="J201"/>
  <c r="J237"/>
  <c r="J193"/>
  <c r="P196"/>
  <c r="S199"/>
  <c r="N270"/>
  <c r="O196"/>
  <c r="O199"/>
  <c r="O220"/>
  <c r="O240"/>
  <c r="S257"/>
  <c r="O287"/>
  <c r="N196"/>
  <c r="N199"/>
  <c r="N220"/>
  <c r="N240"/>
  <c r="S249"/>
  <c r="N269"/>
  <c r="N274"/>
  <c r="O279"/>
  <c r="N287"/>
  <c r="N295"/>
  <c r="K208"/>
  <c r="K207" s="1"/>
  <c r="K206" s="1"/>
  <c r="S275"/>
  <c r="S240"/>
  <c r="S244"/>
  <c r="S286"/>
  <c r="P11"/>
  <c r="O184"/>
  <c r="S198"/>
  <c r="J274"/>
  <c r="O11"/>
  <c r="S74"/>
  <c r="S83"/>
  <c r="S95"/>
  <c r="S139"/>
  <c r="N184"/>
  <c r="P244"/>
  <c r="J257"/>
  <c r="J255" s="1"/>
  <c r="T255" s="1"/>
  <c r="M255"/>
  <c r="S255" s="1"/>
  <c r="J286"/>
  <c r="S194"/>
  <c r="N16"/>
  <c r="S87"/>
  <c r="N135"/>
  <c r="K153"/>
  <c r="S237"/>
  <c r="O275"/>
  <c r="S300"/>
  <c r="S201"/>
  <c r="S247"/>
  <c r="N87"/>
  <c r="S193"/>
  <c r="K265"/>
  <c r="O300"/>
  <c r="S86"/>
  <c r="S85"/>
  <c r="S81"/>
  <c r="S78"/>
  <c r="N78"/>
  <c r="J78"/>
  <c r="S72"/>
  <c r="O72"/>
  <c r="O100"/>
  <c r="O95"/>
  <c r="N88"/>
  <c r="N86"/>
  <c r="L47"/>
  <c r="L46" s="1"/>
  <c r="L45" s="1"/>
  <c r="L6" s="1"/>
  <c r="N73"/>
  <c r="O70"/>
  <c r="O74"/>
  <c r="M66"/>
  <c r="S66" s="1"/>
  <c r="N71"/>
  <c r="N59"/>
  <c r="O20"/>
  <c r="M35"/>
  <c r="O35" s="1"/>
  <c r="P29"/>
  <c r="O29"/>
  <c r="S22"/>
  <c r="S27"/>
  <c r="S31"/>
  <c r="O27"/>
  <c r="J22"/>
  <c r="O25"/>
  <c r="N30"/>
  <c r="O9"/>
  <c r="N9"/>
  <c r="N8" s="1"/>
  <c r="H281"/>
  <c r="N310"/>
  <c r="N309" s="1"/>
  <c r="M310"/>
  <c r="S292"/>
  <c r="S295"/>
  <c r="O295"/>
  <c r="N304"/>
  <c r="S306"/>
  <c r="P306"/>
  <c r="J303"/>
  <c r="O306"/>
  <c r="S117"/>
  <c r="S115"/>
  <c r="S129"/>
  <c r="O115"/>
  <c r="N129"/>
  <c r="N113"/>
  <c r="N128"/>
  <c r="O118"/>
  <c r="N118"/>
  <c r="O125"/>
  <c r="P146"/>
  <c r="N146"/>
  <c r="O144"/>
  <c r="P141"/>
  <c r="N141"/>
  <c r="O135"/>
  <c r="J134"/>
  <c r="S148"/>
  <c r="N138"/>
  <c r="N145"/>
  <c r="S147"/>
  <c r="O142"/>
  <c r="S134"/>
  <c r="S141"/>
  <c r="O172"/>
  <c r="P171"/>
  <c r="S162"/>
  <c r="N162"/>
  <c r="N172"/>
  <c r="S171"/>
  <c r="J162"/>
  <c r="N166"/>
  <c r="O165"/>
  <c r="N165"/>
  <c r="O156"/>
  <c r="N156"/>
  <c r="P169"/>
  <c r="P224"/>
  <c r="O225"/>
  <c r="N225"/>
  <c r="J213"/>
  <c r="P213" s="1"/>
  <c r="O213"/>
  <c r="S213"/>
  <c r="S224"/>
  <c r="S214"/>
  <c r="M209"/>
  <c r="N209" s="1"/>
  <c r="S218"/>
  <c r="O211"/>
  <c r="N211"/>
  <c r="N218"/>
  <c r="P61"/>
  <c r="P269"/>
  <c r="Q269"/>
  <c r="P117"/>
  <c r="T117"/>
  <c r="Q117"/>
  <c r="G131"/>
  <c r="O158"/>
  <c r="S158"/>
  <c r="J158"/>
  <c r="N158"/>
  <c r="J157"/>
  <c r="N157"/>
  <c r="O157"/>
  <c r="S157"/>
  <c r="J88"/>
  <c r="P88" s="1"/>
  <c r="O88"/>
  <c r="S88"/>
  <c r="Q293"/>
  <c r="P293"/>
  <c r="P300"/>
  <c r="Q300"/>
  <c r="T300"/>
  <c r="N305"/>
  <c r="O305"/>
  <c r="P305"/>
  <c r="S305"/>
  <c r="N61"/>
  <c r="O160"/>
  <c r="J160"/>
  <c r="N160"/>
  <c r="S160"/>
  <c r="P189"/>
  <c r="N189"/>
  <c r="O189"/>
  <c r="Q299"/>
  <c r="T299"/>
  <c r="P299"/>
  <c r="S268"/>
  <c r="J268"/>
  <c r="O268"/>
  <c r="N268"/>
  <c r="P100"/>
  <c r="Q100"/>
  <c r="N217"/>
  <c r="O217"/>
  <c r="S217"/>
  <c r="P217"/>
  <c r="P298"/>
  <c r="Q298"/>
  <c r="T298"/>
  <c r="P24"/>
  <c r="T24"/>
  <c r="Q24"/>
  <c r="N67"/>
  <c r="S122"/>
  <c r="N122"/>
  <c r="O122"/>
  <c r="P122"/>
  <c r="S215"/>
  <c r="J215"/>
  <c r="N215"/>
  <c r="O215"/>
  <c r="M19"/>
  <c r="M14" s="1"/>
  <c r="K14"/>
  <c r="I50"/>
  <c r="N60"/>
  <c r="N105"/>
  <c r="N103" s="1"/>
  <c r="N102" s="1"/>
  <c r="O105"/>
  <c r="S105"/>
  <c r="J105"/>
  <c r="O272"/>
  <c r="J272"/>
  <c r="S272"/>
  <c r="G7"/>
  <c r="O18"/>
  <c r="N18"/>
  <c r="J18"/>
  <c r="S18"/>
  <c r="P32"/>
  <c r="Q32"/>
  <c r="P38"/>
  <c r="Q38"/>
  <c r="O59"/>
  <c r="S59"/>
  <c r="M49"/>
  <c r="J59"/>
  <c r="Q59" s="1"/>
  <c r="J97"/>
  <c r="N97"/>
  <c r="O97"/>
  <c r="S97"/>
  <c r="P115"/>
  <c r="Q115"/>
  <c r="N133"/>
  <c r="O133"/>
  <c r="S133"/>
  <c r="M132"/>
  <c r="J133"/>
  <c r="N164"/>
  <c r="O164"/>
  <c r="P164"/>
  <c r="S164"/>
  <c r="P173"/>
  <c r="Q173"/>
  <c r="N285"/>
  <c r="O285"/>
  <c r="S285"/>
  <c r="J285"/>
  <c r="G282"/>
  <c r="J296"/>
  <c r="N296"/>
  <c r="O296"/>
  <c r="S296"/>
  <c r="I180"/>
  <c r="N272"/>
  <c r="J92"/>
  <c r="P92" s="1"/>
  <c r="O92"/>
  <c r="S92"/>
  <c r="O77"/>
  <c r="N77"/>
  <c r="J77"/>
  <c r="S77"/>
  <c r="J34"/>
  <c r="N34"/>
  <c r="O34"/>
  <c r="S34"/>
  <c r="T226"/>
  <c r="P226"/>
  <c r="Q226"/>
  <c r="N98"/>
  <c r="S98"/>
  <c r="J98"/>
  <c r="O98"/>
  <c r="M43"/>
  <c r="S43" s="1"/>
  <c r="J44"/>
  <c r="O44"/>
  <c r="N44"/>
  <c r="N43" s="1"/>
  <c r="N42" s="1"/>
  <c r="S44"/>
  <c r="P243"/>
  <c r="Q243"/>
  <c r="T243"/>
  <c r="T260"/>
  <c r="P260"/>
  <c r="Q260"/>
  <c r="J259"/>
  <c r="T259" s="1"/>
  <c r="J28"/>
  <c r="N28"/>
  <c r="O28"/>
  <c r="S28"/>
  <c r="J90"/>
  <c r="P90" s="1"/>
  <c r="O90"/>
  <c r="S90"/>
  <c r="M107"/>
  <c r="P107" s="1"/>
  <c r="N108"/>
  <c r="N107" s="1"/>
  <c r="N106" s="1"/>
  <c r="O108"/>
  <c r="S108"/>
  <c r="P108"/>
  <c r="O121"/>
  <c r="N121"/>
  <c r="P121"/>
  <c r="S121"/>
  <c r="P139"/>
  <c r="T139"/>
  <c r="Q139"/>
  <c r="M103"/>
  <c r="S103" s="1"/>
  <c r="I281"/>
  <c r="P72"/>
  <c r="Q72"/>
  <c r="O124"/>
  <c r="N124"/>
  <c r="S124"/>
  <c r="P124"/>
  <c r="P292"/>
  <c r="Q292"/>
  <c r="Q70"/>
  <c r="P70"/>
  <c r="P148"/>
  <c r="T148"/>
  <c r="Q148"/>
  <c r="S189"/>
  <c r="T129"/>
  <c r="P129"/>
  <c r="Q129"/>
  <c r="P159"/>
  <c r="Q159"/>
  <c r="N21"/>
  <c r="O21"/>
  <c r="S21"/>
  <c r="J21"/>
  <c r="N161"/>
  <c r="O161"/>
  <c r="S161"/>
  <c r="J161"/>
  <c r="P195"/>
  <c r="T195"/>
  <c r="Q195"/>
  <c r="P83"/>
  <c r="Q83"/>
  <c r="G277"/>
  <c r="P183"/>
  <c r="T183"/>
  <c r="Q183"/>
  <c r="N216"/>
  <c r="O216"/>
  <c r="S216"/>
  <c r="J216"/>
  <c r="P256"/>
  <c r="Q256"/>
  <c r="O308"/>
  <c r="J308"/>
  <c r="N308"/>
  <c r="S308"/>
  <c r="P81"/>
  <c r="Q81"/>
  <c r="M283"/>
  <c r="O283" s="1"/>
  <c r="O284"/>
  <c r="J284"/>
  <c r="N284"/>
  <c r="N283" s="1"/>
  <c r="S284"/>
  <c r="J80"/>
  <c r="N80"/>
  <c r="O80"/>
  <c r="S80"/>
  <c r="S120"/>
  <c r="P120"/>
  <c r="O120"/>
  <c r="N120"/>
  <c r="N126"/>
  <c r="O126"/>
  <c r="P126"/>
  <c r="N168"/>
  <c r="O168"/>
  <c r="S168"/>
  <c r="J168"/>
  <c r="N179"/>
  <c r="O179"/>
  <c r="S179"/>
  <c r="J179"/>
  <c r="J187"/>
  <c r="T187" s="1"/>
  <c r="O187"/>
  <c r="M182"/>
  <c r="N187"/>
  <c r="P295"/>
  <c r="Q295"/>
  <c r="Q74"/>
  <c r="P74"/>
  <c r="P138"/>
  <c r="Q138"/>
  <c r="T138"/>
  <c r="N143"/>
  <c r="O143"/>
  <c r="S143"/>
  <c r="T16"/>
  <c r="P16"/>
  <c r="Q16"/>
  <c r="Q27"/>
  <c r="P27"/>
  <c r="P95"/>
  <c r="Q95"/>
  <c r="P113"/>
  <c r="Q113"/>
  <c r="J119"/>
  <c r="N119"/>
  <c r="O119"/>
  <c r="S119"/>
  <c r="N147"/>
  <c r="O147"/>
  <c r="P147"/>
  <c r="N229"/>
  <c r="N228" s="1"/>
  <c r="N227" s="1"/>
  <c r="J229"/>
  <c r="O229"/>
  <c r="S229"/>
  <c r="M228"/>
  <c r="N302"/>
  <c r="O302"/>
  <c r="P302"/>
  <c r="S302"/>
  <c r="Q61"/>
  <c r="M75"/>
  <c r="S75" s="1"/>
  <c r="N65"/>
  <c r="S250"/>
  <c r="I265"/>
  <c r="I258" s="1"/>
  <c r="I230" s="1"/>
  <c r="S126"/>
  <c r="S187"/>
  <c r="N223"/>
  <c r="O223"/>
  <c r="P223"/>
  <c r="S223"/>
  <c r="O61"/>
  <c r="S61"/>
  <c r="M51"/>
  <c r="P252"/>
  <c r="Q252"/>
  <c r="N123"/>
  <c r="J123"/>
  <c r="O123"/>
  <c r="S123"/>
  <c r="P20"/>
  <c r="T20"/>
  <c r="Q20"/>
  <c r="P67"/>
  <c r="J66"/>
  <c r="G154"/>
  <c r="M50"/>
  <c r="O60"/>
  <c r="J60"/>
  <c r="S60"/>
  <c r="P91"/>
  <c r="Q91"/>
  <c r="O140"/>
  <c r="N140"/>
  <c r="S140"/>
  <c r="J140"/>
  <c r="P307"/>
  <c r="Q307"/>
  <c r="T307"/>
  <c r="O17"/>
  <c r="N17"/>
  <c r="S17"/>
  <c r="O58"/>
  <c r="M48"/>
  <c r="S48" s="1"/>
  <c r="J58"/>
  <c r="S58"/>
  <c r="N114"/>
  <c r="O114"/>
  <c r="S114"/>
  <c r="J114"/>
  <c r="M111"/>
  <c r="J250"/>
  <c r="N250"/>
  <c r="O250"/>
  <c r="J310"/>
  <c r="T310" s="1"/>
  <c r="I54"/>
  <c r="P89"/>
  <c r="Q89"/>
  <c r="O137"/>
  <c r="J137"/>
  <c r="N137"/>
  <c r="S137"/>
  <c r="Q167"/>
  <c r="T167"/>
  <c r="P167"/>
  <c r="H258"/>
  <c r="Q270"/>
  <c r="P270"/>
  <c r="J294"/>
  <c r="N294"/>
  <c r="O294"/>
  <c r="O301"/>
  <c r="S301"/>
  <c r="N301"/>
  <c r="I69"/>
  <c r="N69" s="1"/>
  <c r="Q69"/>
  <c r="H50"/>
  <c r="P112"/>
  <c r="Q112"/>
  <c r="T112"/>
  <c r="P199"/>
  <c r="Q199"/>
  <c r="T199"/>
  <c r="J204"/>
  <c r="N204"/>
  <c r="N203" s="1"/>
  <c r="N202" s="1"/>
  <c r="M203"/>
  <c r="S203" s="1"/>
  <c r="O204"/>
  <c r="S204"/>
  <c r="N219"/>
  <c r="O219"/>
  <c r="P219"/>
  <c r="S219"/>
  <c r="N236"/>
  <c r="J236"/>
  <c r="T236" s="1"/>
  <c r="O236"/>
  <c r="M235"/>
  <c r="O253"/>
  <c r="J253"/>
  <c r="S253"/>
  <c r="N253"/>
  <c r="N92"/>
  <c r="I153"/>
  <c r="I130"/>
  <c r="S191"/>
  <c r="S241"/>
  <c r="Q68"/>
  <c r="P68"/>
  <c r="Q240"/>
  <c r="P240"/>
  <c r="J210"/>
  <c r="S210"/>
  <c r="N210"/>
  <c r="O210"/>
  <c r="P239"/>
  <c r="Q239"/>
  <c r="Q87"/>
  <c r="P87"/>
  <c r="G46"/>
  <c r="J82"/>
  <c r="O82"/>
  <c r="S82"/>
  <c r="P174"/>
  <c r="Q174"/>
  <c r="T174"/>
  <c r="J233"/>
  <c r="N233"/>
  <c r="N232" s="1"/>
  <c r="N231" s="1"/>
  <c r="O233"/>
  <c r="M232"/>
  <c r="S232" s="1"/>
  <c r="S233"/>
  <c r="J267"/>
  <c r="N267"/>
  <c r="O267"/>
  <c r="S267"/>
  <c r="J99"/>
  <c r="O99"/>
  <c r="N99"/>
  <c r="S99"/>
  <c r="J12"/>
  <c r="N12"/>
  <c r="O12"/>
  <c r="O297"/>
  <c r="J297"/>
  <c r="S297"/>
  <c r="N297"/>
  <c r="P221"/>
  <c r="Q221"/>
  <c r="T221"/>
  <c r="M55"/>
  <c r="O65"/>
  <c r="S65"/>
  <c r="J65"/>
  <c r="N58"/>
  <c r="I48"/>
  <c r="O63"/>
  <c r="S63"/>
  <c r="M53"/>
  <c r="S53" s="1"/>
  <c r="J94"/>
  <c r="N94"/>
  <c r="O94"/>
  <c r="O93" s="1"/>
  <c r="S94"/>
  <c r="M93"/>
  <c r="S93" s="1"/>
  <c r="J136"/>
  <c r="N136"/>
  <c r="O136"/>
  <c r="S136"/>
  <c r="J177"/>
  <c r="N177"/>
  <c r="M176"/>
  <c r="S176" s="1"/>
  <c r="S177"/>
  <c r="N191"/>
  <c r="O191"/>
  <c r="P191"/>
  <c r="J212"/>
  <c r="N212"/>
  <c r="O212"/>
  <c r="S212"/>
  <c r="J241"/>
  <c r="N241"/>
  <c r="O241"/>
  <c r="J288"/>
  <c r="N288"/>
  <c r="O288"/>
  <c r="S288"/>
  <c r="J15"/>
  <c r="O15"/>
  <c r="S15"/>
  <c r="M151"/>
  <c r="S151" s="1"/>
  <c r="S152"/>
  <c r="N152"/>
  <c r="N151" s="1"/>
  <c r="N150" s="1"/>
  <c r="P152"/>
  <c r="P185"/>
  <c r="Q185"/>
  <c r="T185"/>
  <c r="S190"/>
  <c r="J190"/>
  <c r="N190"/>
  <c r="O190"/>
  <c r="G234"/>
  <c r="P280"/>
  <c r="Q280"/>
  <c r="T32"/>
  <c r="J17"/>
  <c r="N90"/>
  <c r="M84"/>
  <c r="S84" s="1"/>
  <c r="S294"/>
  <c r="J63"/>
  <c r="N63"/>
  <c r="H55"/>
  <c r="J79"/>
  <c r="J156"/>
  <c r="J238"/>
  <c r="J287"/>
  <c r="O299"/>
  <c r="O16"/>
  <c r="J25"/>
  <c r="N27"/>
  <c r="N68"/>
  <c r="N70"/>
  <c r="N72"/>
  <c r="N74"/>
  <c r="N76"/>
  <c r="N81"/>
  <c r="O85"/>
  <c r="O87"/>
  <c r="O89"/>
  <c r="O91"/>
  <c r="O104"/>
  <c r="O113"/>
  <c r="J118"/>
  <c r="O129"/>
  <c r="O139"/>
  <c r="O167"/>
  <c r="J172"/>
  <c r="N174"/>
  <c r="N178"/>
  <c r="J184"/>
  <c r="N186"/>
  <c r="J211"/>
  <c r="N213"/>
  <c r="J279"/>
  <c r="N299"/>
  <c r="J9"/>
  <c r="J220"/>
  <c r="J289"/>
  <c r="H48"/>
  <c r="H53"/>
  <c r="T126"/>
  <c r="O148"/>
  <c r="G182"/>
  <c r="O246"/>
  <c r="S260"/>
  <c r="O262"/>
  <c r="O261" s="1"/>
  <c r="S12"/>
  <c r="N20"/>
  <c r="S36"/>
  <c r="M62"/>
  <c r="M64"/>
  <c r="K66"/>
  <c r="J76"/>
  <c r="N83"/>
  <c r="N95"/>
  <c r="N100"/>
  <c r="K111"/>
  <c r="N115"/>
  <c r="N148"/>
  <c r="N246"/>
  <c r="N262"/>
  <c r="N261" s="1"/>
  <c r="J165"/>
  <c r="J242"/>
  <c r="J85"/>
  <c r="J96"/>
  <c r="J101"/>
  <c r="J163"/>
  <c r="K182"/>
  <c r="T218"/>
  <c r="J225"/>
  <c r="J41"/>
  <c r="J135"/>
  <c r="J144"/>
  <c r="J266"/>
  <c r="O24"/>
  <c r="S26"/>
  <c r="O31"/>
  <c r="S38"/>
  <c r="O117"/>
  <c r="T151"/>
  <c r="O171"/>
  <c r="S173"/>
  <c r="O183"/>
  <c r="S185"/>
  <c r="O195"/>
  <c r="S197"/>
  <c r="S221"/>
  <c r="O226"/>
  <c r="O239"/>
  <c r="S243"/>
  <c r="O248"/>
  <c r="S256"/>
  <c r="O260"/>
  <c r="S280"/>
  <c r="O292"/>
  <c r="S298"/>
  <c r="I55"/>
  <c r="J149"/>
  <c r="J263"/>
  <c r="J304"/>
  <c r="P36"/>
  <c r="I51"/>
  <c r="M10"/>
  <c r="O10" s="1"/>
  <c r="N24"/>
  <c r="M40"/>
  <c r="H51"/>
  <c r="I62"/>
  <c r="I57" s="1"/>
  <c r="H66"/>
  <c r="S67"/>
  <c r="S69"/>
  <c r="S71"/>
  <c r="S73"/>
  <c r="S112"/>
  <c r="N117"/>
  <c r="S128"/>
  <c r="S138"/>
  <c r="S145"/>
  <c r="M155"/>
  <c r="S159"/>
  <c r="S166"/>
  <c r="N183"/>
  <c r="N195"/>
  <c r="N226"/>
  <c r="K235"/>
  <c r="K234" s="1"/>
  <c r="N239"/>
  <c r="N260"/>
  <c r="N259" s="1"/>
  <c r="S269"/>
  <c r="S271"/>
  <c r="S273"/>
  <c r="M290"/>
  <c r="S290" s="1"/>
  <c r="N292"/>
  <c r="J23"/>
  <c r="J127"/>
  <c r="Q67"/>
  <c r="Q71"/>
  <c r="G111"/>
  <c r="T147"/>
  <c r="H150"/>
  <c r="Q150" s="1"/>
  <c r="T189"/>
  <c r="P197"/>
  <c r="Q271"/>
  <c r="M8"/>
  <c r="O26"/>
  <c r="O38"/>
  <c r="Q86"/>
  <c r="P128"/>
  <c r="P145"/>
  <c r="P166"/>
  <c r="O173"/>
  <c r="O185"/>
  <c r="T191"/>
  <c r="O197"/>
  <c r="O221"/>
  <c r="O243"/>
  <c r="O256"/>
  <c r="O280"/>
  <c r="O298"/>
  <c r="I53"/>
  <c r="P26"/>
  <c r="Q73"/>
  <c r="N38"/>
  <c r="N35" s="1"/>
  <c r="H42"/>
  <c r="I49"/>
  <c r="O67"/>
  <c r="O69"/>
  <c r="O71"/>
  <c r="O73"/>
  <c r="O112"/>
  <c r="O138"/>
  <c r="O159"/>
  <c r="N173"/>
  <c r="N185"/>
  <c r="N221"/>
  <c r="S236"/>
  <c r="N243"/>
  <c r="T247"/>
  <c r="N256"/>
  <c r="N255" s="1"/>
  <c r="N254" s="1"/>
  <c r="O269"/>
  <c r="O271"/>
  <c r="O273"/>
  <c r="N280"/>
  <c r="N278" s="1"/>
  <c r="N277" s="1"/>
  <c r="N298"/>
  <c r="O86"/>
  <c r="T170"/>
  <c r="T194"/>
  <c r="G208"/>
  <c r="S263"/>
  <c r="J116"/>
  <c r="H54"/>
  <c r="S23"/>
  <c r="S96"/>
  <c r="S116"/>
  <c r="S163"/>
  <c r="S170"/>
  <c r="S291"/>
  <c r="S304"/>
  <c r="H57"/>
  <c r="J291"/>
  <c r="T291" s="1"/>
  <c r="S225"/>
  <c r="S32"/>
  <c r="H109"/>
  <c r="S125"/>
  <c r="S142"/>
  <c r="T240"/>
  <c r="P247"/>
  <c r="T249"/>
  <c r="T293"/>
  <c r="I84"/>
  <c r="S149"/>
  <c r="M265"/>
  <c r="S265" s="1"/>
  <c r="S30"/>
  <c r="N82"/>
  <c r="S101"/>
  <c r="P30"/>
  <c r="O149"/>
  <c r="P170"/>
  <c r="H175"/>
  <c r="P194"/>
  <c r="O247"/>
  <c r="O263"/>
  <c r="S279"/>
  <c r="T295"/>
  <c r="J37"/>
  <c r="H202"/>
  <c r="K273" i="87"/>
  <c r="M276"/>
  <c r="J247"/>
  <c r="K152"/>
  <c r="J142"/>
  <c r="K110"/>
  <c r="L110"/>
  <c r="M110"/>
  <c r="N110"/>
  <c r="J206"/>
  <c r="J193"/>
  <c r="J182"/>
  <c r="L114"/>
  <c r="L111"/>
  <c r="L298"/>
  <c r="J27"/>
  <c r="P6" i="89" l="1"/>
  <c r="J5"/>
  <c r="Q6"/>
  <c r="O5"/>
  <c r="S5"/>
  <c r="O55" i="88"/>
  <c r="I66"/>
  <c r="O66" s="1"/>
  <c r="O50"/>
  <c r="Q178"/>
  <c r="N10"/>
  <c r="N7" s="1"/>
  <c r="K5"/>
  <c r="K258"/>
  <c r="P275"/>
  <c r="Q186"/>
  <c r="M208"/>
  <c r="S208" s="1"/>
  <c r="S278"/>
  <c r="O278"/>
  <c r="O277" s="1"/>
  <c r="Q259"/>
  <c r="Q275"/>
  <c r="S259"/>
  <c r="L5"/>
  <c r="P257"/>
  <c r="Q257"/>
  <c r="M254"/>
  <c r="S254" s="1"/>
  <c r="O255"/>
  <c r="P201"/>
  <c r="Q201"/>
  <c r="T201"/>
  <c r="P246"/>
  <c r="P214"/>
  <c r="T246"/>
  <c r="Q214"/>
  <c r="P274"/>
  <c r="Q274"/>
  <c r="P286"/>
  <c r="Q286"/>
  <c r="P188"/>
  <c r="Q188"/>
  <c r="T188"/>
  <c r="T193"/>
  <c r="P193"/>
  <c r="Q193"/>
  <c r="Q237"/>
  <c r="P237"/>
  <c r="Q273"/>
  <c r="T273"/>
  <c r="N265"/>
  <c r="Q92"/>
  <c r="S10"/>
  <c r="Q90"/>
  <c r="P78"/>
  <c r="Q78"/>
  <c r="N55"/>
  <c r="J51"/>
  <c r="P51" s="1"/>
  <c r="N84"/>
  <c r="N50"/>
  <c r="P66"/>
  <c r="Q66"/>
  <c r="N49"/>
  <c r="S35"/>
  <c r="P22"/>
  <c r="Q22"/>
  <c r="T22"/>
  <c r="M309"/>
  <c r="S309" s="1"/>
  <c r="O310"/>
  <c r="S310"/>
  <c r="P303"/>
  <c r="T303"/>
  <c r="Q303"/>
  <c r="N290"/>
  <c r="N282" s="1"/>
  <c r="N281" s="1"/>
  <c r="N111"/>
  <c r="N110" s="1"/>
  <c r="N109" s="1"/>
  <c r="J111"/>
  <c r="Q111" s="1"/>
  <c r="P134"/>
  <c r="Q134"/>
  <c r="T162"/>
  <c r="Q162"/>
  <c r="P162"/>
  <c r="N155"/>
  <c r="N154" s="1"/>
  <c r="T213"/>
  <c r="Q213"/>
  <c r="O209"/>
  <c r="S209"/>
  <c r="J209"/>
  <c r="J208" s="1"/>
  <c r="T208" s="1"/>
  <c r="N208"/>
  <c r="N207" s="1"/>
  <c r="N206" s="1"/>
  <c r="P218"/>
  <c r="Q218"/>
  <c r="T297"/>
  <c r="P297"/>
  <c r="Q297"/>
  <c r="P296"/>
  <c r="Q296"/>
  <c r="T296"/>
  <c r="S111"/>
  <c r="G110"/>
  <c r="Q184"/>
  <c r="P184"/>
  <c r="T308"/>
  <c r="P308"/>
  <c r="Q308"/>
  <c r="P41"/>
  <c r="Q41"/>
  <c r="T41"/>
  <c r="J40"/>
  <c r="Q279"/>
  <c r="J278"/>
  <c r="P279"/>
  <c r="T144"/>
  <c r="P144"/>
  <c r="Q144"/>
  <c r="T284"/>
  <c r="J283"/>
  <c r="P284"/>
  <c r="Q284"/>
  <c r="M131"/>
  <c r="S131" s="1"/>
  <c r="O132"/>
  <c r="T289"/>
  <c r="P289"/>
  <c r="Q289"/>
  <c r="P177"/>
  <c r="Q177"/>
  <c r="J176"/>
  <c r="Q179"/>
  <c r="P179"/>
  <c r="P259"/>
  <c r="Q133"/>
  <c r="P133"/>
  <c r="T133"/>
  <c r="J132"/>
  <c r="T18"/>
  <c r="Q18"/>
  <c r="P18"/>
  <c r="P267"/>
  <c r="Q267"/>
  <c r="P204"/>
  <c r="Q204"/>
  <c r="J203"/>
  <c r="P114"/>
  <c r="Q114"/>
  <c r="T114"/>
  <c r="M227"/>
  <c r="S227" s="1"/>
  <c r="O228"/>
  <c r="S228"/>
  <c r="P187"/>
  <c r="Q187"/>
  <c r="P28"/>
  <c r="Q28"/>
  <c r="T28"/>
  <c r="T215"/>
  <c r="P215"/>
  <c r="Q215"/>
  <c r="T279"/>
  <c r="S50"/>
  <c r="N176"/>
  <c r="N175" s="1"/>
  <c r="M52"/>
  <c r="S62"/>
  <c r="J62"/>
  <c r="O62"/>
  <c r="Q241"/>
  <c r="P241"/>
  <c r="T241"/>
  <c r="T225"/>
  <c r="P225"/>
  <c r="Q225"/>
  <c r="T253"/>
  <c r="P253"/>
  <c r="Q253"/>
  <c r="Q229"/>
  <c r="P229"/>
  <c r="J228"/>
  <c r="T37"/>
  <c r="P37"/>
  <c r="J35"/>
  <c r="Q37"/>
  <c r="P63"/>
  <c r="J53"/>
  <c r="P53" s="1"/>
  <c r="P15"/>
  <c r="Q15"/>
  <c r="M110"/>
  <c r="O111"/>
  <c r="O203"/>
  <c r="M202"/>
  <c r="S202" s="1"/>
  <c r="P250"/>
  <c r="Q250"/>
  <c r="T250"/>
  <c r="O182"/>
  <c r="M181"/>
  <c r="H130"/>
  <c r="N75"/>
  <c r="N53"/>
  <c r="H180"/>
  <c r="J182"/>
  <c r="S55"/>
  <c r="Q60"/>
  <c r="J50"/>
  <c r="P50" s="1"/>
  <c r="P60"/>
  <c r="T220"/>
  <c r="P220"/>
  <c r="Q220"/>
  <c r="P210"/>
  <c r="Q210"/>
  <c r="H47"/>
  <c r="N48"/>
  <c r="Q294"/>
  <c r="P294"/>
  <c r="N19"/>
  <c r="N14" s="1"/>
  <c r="N13" s="1"/>
  <c r="O19"/>
  <c r="S19"/>
  <c r="J19"/>
  <c r="G130"/>
  <c r="M39"/>
  <c r="O40"/>
  <c r="S40"/>
  <c r="M234"/>
  <c r="O234" s="1"/>
  <c r="O235"/>
  <c r="Q136"/>
  <c r="P136"/>
  <c r="S8"/>
  <c r="O8"/>
  <c r="M7"/>
  <c r="S7" s="1"/>
  <c r="Q123"/>
  <c r="P123"/>
  <c r="T123"/>
  <c r="P291"/>
  <c r="Q291"/>
  <c r="J290"/>
  <c r="T165"/>
  <c r="P165"/>
  <c r="Q165"/>
  <c r="P242"/>
  <c r="Q242"/>
  <c r="O84"/>
  <c r="S235"/>
  <c r="S132"/>
  <c r="T137"/>
  <c r="Q137"/>
  <c r="P137"/>
  <c r="S51"/>
  <c r="O51"/>
  <c r="Q34"/>
  <c r="P34"/>
  <c r="T34"/>
  <c r="M231"/>
  <c r="O232"/>
  <c r="O231" s="1"/>
  <c r="Q268"/>
  <c r="P268"/>
  <c r="O265"/>
  <c r="P263"/>
  <c r="Q263"/>
  <c r="P119"/>
  <c r="Q119"/>
  <c r="T119"/>
  <c r="S182"/>
  <c r="G181"/>
  <c r="P156"/>
  <c r="Q156"/>
  <c r="T156"/>
  <c r="J155"/>
  <c r="G13"/>
  <c r="G6" s="1"/>
  <c r="S14"/>
  <c r="P23"/>
  <c r="T23"/>
  <c r="Q23"/>
  <c r="J103"/>
  <c r="T104"/>
  <c r="P104"/>
  <c r="Q104"/>
  <c r="P85"/>
  <c r="Q85"/>
  <c r="J84"/>
  <c r="P238"/>
  <c r="Q238"/>
  <c r="T238"/>
  <c r="G153"/>
  <c r="P216"/>
  <c r="Q216"/>
  <c r="T216"/>
  <c r="Q21"/>
  <c r="P21"/>
  <c r="T21"/>
  <c r="Q98"/>
  <c r="P98"/>
  <c r="T158"/>
  <c r="Q158"/>
  <c r="P158"/>
  <c r="N132"/>
  <c r="N131" s="1"/>
  <c r="N130" s="1"/>
  <c r="Q88"/>
  <c r="Q63"/>
  <c r="S64"/>
  <c r="J64"/>
  <c r="M54"/>
  <c r="O64"/>
  <c r="I52"/>
  <c r="I47" s="1"/>
  <c r="I46" s="1"/>
  <c r="I45" s="1"/>
  <c r="I6" s="1"/>
  <c r="I5" s="1"/>
  <c r="N62"/>
  <c r="N52" s="1"/>
  <c r="O48"/>
  <c r="P135"/>
  <c r="Q135"/>
  <c r="T135"/>
  <c r="P233"/>
  <c r="Q233"/>
  <c r="J232"/>
  <c r="Q58"/>
  <c r="P58"/>
  <c r="J48"/>
  <c r="Q48" s="1"/>
  <c r="P77"/>
  <c r="Q77"/>
  <c r="P262"/>
  <c r="J261"/>
  <c r="T262"/>
  <c r="Q262"/>
  <c r="J265"/>
  <c r="P266"/>
  <c r="Q266"/>
  <c r="T9"/>
  <c r="J8"/>
  <c r="P9"/>
  <c r="Q9"/>
  <c r="P288"/>
  <c r="Q288"/>
  <c r="T288"/>
  <c r="J55"/>
  <c r="P55" s="1"/>
  <c r="P65"/>
  <c r="M282"/>
  <c r="O290"/>
  <c r="P149"/>
  <c r="Q149"/>
  <c r="T149"/>
  <c r="Q118"/>
  <c r="T118"/>
  <c r="P118"/>
  <c r="P79"/>
  <c r="Q79"/>
  <c r="O14"/>
  <c r="M13"/>
  <c r="O13" s="1"/>
  <c r="P99"/>
  <c r="Q99"/>
  <c r="P304"/>
  <c r="Q304"/>
  <c r="T304"/>
  <c r="T127"/>
  <c r="P127"/>
  <c r="Q127"/>
  <c r="O155"/>
  <c r="M154"/>
  <c r="S154" s="1"/>
  <c r="P287"/>
  <c r="Q287"/>
  <c r="T287"/>
  <c r="G45"/>
  <c r="P301"/>
  <c r="Q301"/>
  <c r="T301"/>
  <c r="J309"/>
  <c r="Q310"/>
  <c r="P310"/>
  <c r="O107"/>
  <c r="O106" s="1"/>
  <c r="M106"/>
  <c r="S107"/>
  <c r="O49"/>
  <c r="S49"/>
  <c r="N235"/>
  <c r="N234" s="1"/>
  <c r="H230"/>
  <c r="N51"/>
  <c r="T15"/>
  <c r="O53"/>
  <c r="S155"/>
  <c r="S283"/>
  <c r="P143"/>
  <c r="Q143"/>
  <c r="T143"/>
  <c r="Q272"/>
  <c r="P272"/>
  <c r="Q211"/>
  <c r="T211"/>
  <c r="P211"/>
  <c r="P116"/>
  <c r="T116"/>
  <c r="Q116"/>
  <c r="J75"/>
  <c r="Q76"/>
  <c r="P76"/>
  <c r="P168"/>
  <c r="Q168"/>
  <c r="T168"/>
  <c r="Q190"/>
  <c r="P190"/>
  <c r="T190"/>
  <c r="S277"/>
  <c r="M175"/>
  <c r="S175" s="1"/>
  <c r="O176"/>
  <c r="P140"/>
  <c r="Q140"/>
  <c r="T140"/>
  <c r="P80"/>
  <c r="Q80"/>
  <c r="P96"/>
  <c r="Q96"/>
  <c r="Q172"/>
  <c r="T172"/>
  <c r="P172"/>
  <c r="O151"/>
  <c r="P151"/>
  <c r="M150"/>
  <c r="P212"/>
  <c r="Q212"/>
  <c r="P94"/>
  <c r="Q94"/>
  <c r="J93"/>
  <c r="J10"/>
  <c r="Q12"/>
  <c r="T12"/>
  <c r="P12"/>
  <c r="O43"/>
  <c r="M42"/>
  <c r="P59"/>
  <c r="J49"/>
  <c r="T160"/>
  <c r="P160"/>
  <c r="Q160"/>
  <c r="Q157"/>
  <c r="P157"/>
  <c r="H153"/>
  <c r="G207"/>
  <c r="P101"/>
  <c r="Q101"/>
  <c r="P17"/>
  <c r="Q17"/>
  <c r="T17"/>
  <c r="P82"/>
  <c r="Q82"/>
  <c r="J254"/>
  <c r="P255"/>
  <c r="Q255"/>
  <c r="O103"/>
  <c r="M102"/>
  <c r="J43"/>
  <c r="Q44"/>
  <c r="P44"/>
  <c r="P285"/>
  <c r="Q285"/>
  <c r="T285"/>
  <c r="Q97"/>
  <c r="P97"/>
  <c r="P163"/>
  <c r="T163"/>
  <c r="Q163"/>
  <c r="Q25"/>
  <c r="T25"/>
  <c r="P25"/>
  <c r="Q236"/>
  <c r="P236"/>
  <c r="J235"/>
  <c r="Q161"/>
  <c r="P161"/>
  <c r="T161"/>
  <c r="G281"/>
  <c r="P105"/>
  <c r="Q105"/>
  <c r="M57"/>
  <c r="N66"/>
  <c r="Q65"/>
  <c r="N93"/>
  <c r="N64"/>
  <c r="N54" s="1"/>
  <c r="N182"/>
  <c r="N181" s="1"/>
  <c r="N180" s="1"/>
  <c r="O276" i="87"/>
  <c r="S276"/>
  <c r="J276"/>
  <c r="N276"/>
  <c r="M248"/>
  <c r="J248" s="1"/>
  <c r="M249"/>
  <c r="J249" s="1"/>
  <c r="M172"/>
  <c r="J172" s="1"/>
  <c r="K92"/>
  <c r="L92"/>
  <c r="K83"/>
  <c r="L83"/>
  <c r="K74"/>
  <c r="L74"/>
  <c r="M74"/>
  <c r="K65"/>
  <c r="L65"/>
  <c r="K56"/>
  <c r="L56"/>
  <c r="K66"/>
  <c r="K67"/>
  <c r="K68"/>
  <c r="K69"/>
  <c r="K70"/>
  <c r="K71"/>
  <c r="K72"/>
  <c r="K73"/>
  <c r="K75"/>
  <c r="K76"/>
  <c r="K77"/>
  <c r="K78"/>
  <c r="K79"/>
  <c r="K80"/>
  <c r="K81"/>
  <c r="K82"/>
  <c r="K84"/>
  <c r="K85"/>
  <c r="K86"/>
  <c r="K87"/>
  <c r="K88"/>
  <c r="K89"/>
  <c r="K90"/>
  <c r="K91"/>
  <c r="K93"/>
  <c r="K94"/>
  <c r="K95"/>
  <c r="K96"/>
  <c r="K97"/>
  <c r="K98"/>
  <c r="K99"/>
  <c r="K100"/>
  <c r="K58"/>
  <c r="K59"/>
  <c r="K60"/>
  <c r="K61"/>
  <c r="K62"/>
  <c r="K63"/>
  <c r="K64"/>
  <c r="K57"/>
  <c r="K179"/>
  <c r="L154"/>
  <c r="G154"/>
  <c r="G173"/>
  <c r="K154"/>
  <c r="K156"/>
  <c r="K157"/>
  <c r="K158"/>
  <c r="K159"/>
  <c r="K160"/>
  <c r="K161"/>
  <c r="K162"/>
  <c r="K163"/>
  <c r="K164"/>
  <c r="K165"/>
  <c r="K166"/>
  <c r="M166" s="1"/>
  <c r="K167"/>
  <c r="M167" s="1"/>
  <c r="K168"/>
  <c r="M168" s="1"/>
  <c r="K169"/>
  <c r="M169" s="1"/>
  <c r="K170"/>
  <c r="K171"/>
  <c r="K173"/>
  <c r="K155"/>
  <c r="M156"/>
  <c r="M157"/>
  <c r="M158"/>
  <c r="M159"/>
  <c r="M160"/>
  <c r="M161"/>
  <c r="M162"/>
  <c r="M163"/>
  <c r="M164"/>
  <c r="M165"/>
  <c r="M170"/>
  <c r="M171"/>
  <c r="M173"/>
  <c r="G241"/>
  <c r="H269"/>
  <c r="H268"/>
  <c r="H267"/>
  <c r="H264"/>
  <c r="H263"/>
  <c r="K264"/>
  <c r="K265"/>
  <c r="K266"/>
  <c r="K267"/>
  <c r="K268"/>
  <c r="K269"/>
  <c r="K270"/>
  <c r="K271"/>
  <c r="K272"/>
  <c r="K263"/>
  <c r="K260"/>
  <c r="K259"/>
  <c r="K257"/>
  <c r="G257"/>
  <c r="L232"/>
  <c r="P5" i="89" l="1"/>
  <c r="Q5"/>
  <c r="N258" i="88"/>
  <c r="N230" s="1"/>
  <c r="M207"/>
  <c r="M206" s="1"/>
  <c r="O206" s="1"/>
  <c r="O208"/>
  <c r="N153"/>
  <c r="Q51"/>
  <c r="Q55"/>
  <c r="T111"/>
  <c r="P111"/>
  <c r="J110"/>
  <c r="Q110" s="1"/>
  <c r="P209"/>
  <c r="Q209"/>
  <c r="T209"/>
  <c r="P182"/>
  <c r="J181"/>
  <c r="Q182"/>
  <c r="P278"/>
  <c r="Q278"/>
  <c r="J277"/>
  <c r="T278"/>
  <c r="O52"/>
  <c r="S52"/>
  <c r="P261"/>
  <c r="Q261"/>
  <c r="T261"/>
  <c r="P19"/>
  <c r="Q19"/>
  <c r="T19"/>
  <c r="J52"/>
  <c r="P62"/>
  <c r="Q62"/>
  <c r="J39"/>
  <c r="P40"/>
  <c r="T40"/>
  <c r="Q40"/>
  <c r="Q93"/>
  <c r="P93"/>
  <c r="Q10"/>
  <c r="P10"/>
  <c r="T10"/>
  <c r="O54"/>
  <c r="S54"/>
  <c r="P150"/>
  <c r="S150"/>
  <c r="P8"/>
  <c r="Q8"/>
  <c r="J7"/>
  <c r="P103"/>
  <c r="J102"/>
  <c r="Q103"/>
  <c r="T103"/>
  <c r="M47"/>
  <c r="O110"/>
  <c r="M109"/>
  <c r="O109" s="1"/>
  <c r="P254"/>
  <c r="Q254"/>
  <c r="P283"/>
  <c r="Q283"/>
  <c r="T283"/>
  <c r="H46"/>
  <c r="S231"/>
  <c r="P49"/>
  <c r="Q49"/>
  <c r="O181"/>
  <c r="M180"/>
  <c r="O180" s="1"/>
  <c r="J14"/>
  <c r="S234"/>
  <c r="J54"/>
  <c r="Q64"/>
  <c r="P64"/>
  <c r="P176"/>
  <c r="T176"/>
  <c r="J175"/>
  <c r="Q176"/>
  <c r="O57"/>
  <c r="S57"/>
  <c r="P265"/>
  <c r="J258"/>
  <c r="T265"/>
  <c r="Q265"/>
  <c r="P309"/>
  <c r="Q309"/>
  <c r="O42"/>
  <c r="S42"/>
  <c r="S106"/>
  <c r="P106"/>
  <c r="P235"/>
  <c r="Q235"/>
  <c r="J234"/>
  <c r="T235"/>
  <c r="O131"/>
  <c r="M130"/>
  <c r="G109"/>
  <c r="S110"/>
  <c r="N47"/>
  <c r="N46" s="1"/>
  <c r="N45" s="1"/>
  <c r="N6" s="1"/>
  <c r="Q50"/>
  <c r="P155"/>
  <c r="Q155"/>
  <c r="J154"/>
  <c r="T155"/>
  <c r="O264"/>
  <c r="S264"/>
  <c r="M258"/>
  <c r="P75"/>
  <c r="Q75"/>
  <c r="T228"/>
  <c r="J227"/>
  <c r="P228"/>
  <c r="Q228"/>
  <c r="J57"/>
  <c r="N57"/>
  <c r="P84"/>
  <c r="Q84"/>
  <c r="J282"/>
  <c r="P290"/>
  <c r="Q290"/>
  <c r="T290"/>
  <c r="P48"/>
  <c r="O7"/>
  <c r="G206"/>
  <c r="S13"/>
  <c r="P132"/>
  <c r="Q132"/>
  <c r="J131"/>
  <c r="T132"/>
  <c r="O282"/>
  <c r="M281"/>
  <c r="O281" s="1"/>
  <c r="P208"/>
  <c r="Q208"/>
  <c r="J207"/>
  <c r="O102"/>
  <c r="S102"/>
  <c r="M153"/>
  <c r="O153" s="1"/>
  <c r="O154"/>
  <c r="P43"/>
  <c r="J42"/>
  <c r="Q43"/>
  <c r="P35"/>
  <c r="Q35"/>
  <c r="T35"/>
  <c r="T182"/>
  <c r="Q53"/>
  <c r="O39"/>
  <c r="S39"/>
  <c r="P232"/>
  <c r="J231"/>
  <c r="Q231" s="1"/>
  <c r="Q232"/>
  <c r="G180"/>
  <c r="S181"/>
  <c r="J202"/>
  <c r="P203"/>
  <c r="Q203"/>
  <c r="T203"/>
  <c r="S282"/>
  <c r="Q276" i="87"/>
  <c r="P276"/>
  <c r="Q248"/>
  <c r="P248"/>
  <c r="Q249"/>
  <c r="P249"/>
  <c r="N248"/>
  <c r="O248"/>
  <c r="S248"/>
  <c r="N249"/>
  <c r="O249"/>
  <c r="S249"/>
  <c r="Q172"/>
  <c r="P172"/>
  <c r="N172"/>
  <c r="O172"/>
  <c r="S172"/>
  <c r="M155"/>
  <c r="M154" s="1"/>
  <c r="K250"/>
  <c r="K234"/>
  <c r="K235"/>
  <c r="K236"/>
  <c r="K237"/>
  <c r="K238"/>
  <c r="K239"/>
  <c r="K240"/>
  <c r="K241"/>
  <c r="K242"/>
  <c r="K243"/>
  <c r="K244"/>
  <c r="K245"/>
  <c r="K246"/>
  <c r="K247"/>
  <c r="K233"/>
  <c r="G250"/>
  <c r="G249"/>
  <c r="G247"/>
  <c r="G246"/>
  <c r="G240"/>
  <c r="G238"/>
  <c r="G237"/>
  <c r="G236"/>
  <c r="G233"/>
  <c r="O207" i="88" l="1"/>
  <c r="S207"/>
  <c r="O130"/>
  <c r="S130"/>
  <c r="N5"/>
  <c r="S281"/>
  <c r="P110"/>
  <c r="T110"/>
  <c r="J109"/>
  <c r="T109" s="1"/>
  <c r="Q14"/>
  <c r="J13"/>
  <c r="P14"/>
  <c r="T14"/>
  <c r="P181"/>
  <c r="J180"/>
  <c r="Q181"/>
  <c r="O258"/>
  <c r="S258"/>
  <c r="P207"/>
  <c r="J206"/>
  <c r="T206" s="1"/>
  <c r="Q207"/>
  <c r="P227"/>
  <c r="Q227"/>
  <c r="P57"/>
  <c r="Q57"/>
  <c r="P131"/>
  <c r="J130"/>
  <c r="T130" s="1"/>
  <c r="Q131"/>
  <c r="T131"/>
  <c r="P102"/>
  <c r="Q102"/>
  <c r="T102"/>
  <c r="P39"/>
  <c r="T39"/>
  <c r="Q39"/>
  <c r="P54"/>
  <c r="Q54"/>
  <c r="P42"/>
  <c r="Q42"/>
  <c r="S153"/>
  <c r="P7"/>
  <c r="Q7"/>
  <c r="O47"/>
  <c r="M46"/>
  <c r="S47"/>
  <c r="P175"/>
  <c r="Q175"/>
  <c r="H45"/>
  <c r="T181"/>
  <c r="M230"/>
  <c r="P231"/>
  <c r="J230"/>
  <c r="P202"/>
  <c r="Q202"/>
  <c r="S109"/>
  <c r="Q277"/>
  <c r="P277"/>
  <c r="T277"/>
  <c r="P258"/>
  <c r="Q258"/>
  <c r="T258"/>
  <c r="P264"/>
  <c r="Q264"/>
  <c r="T264"/>
  <c r="P109"/>
  <c r="Q109"/>
  <c r="P154"/>
  <c r="Q154"/>
  <c r="J153"/>
  <c r="T154"/>
  <c r="P52"/>
  <c r="Q52"/>
  <c r="S180"/>
  <c r="P234"/>
  <c r="Q234"/>
  <c r="T234"/>
  <c r="S206"/>
  <c r="P282"/>
  <c r="Q282"/>
  <c r="J281"/>
  <c r="T282"/>
  <c r="J47"/>
  <c r="T207"/>
  <c r="K304" i="87"/>
  <c r="K288"/>
  <c r="K289"/>
  <c r="K290"/>
  <c r="K291"/>
  <c r="K292"/>
  <c r="K293"/>
  <c r="K294"/>
  <c r="K295"/>
  <c r="K296"/>
  <c r="K297"/>
  <c r="K298"/>
  <c r="K299"/>
  <c r="K300"/>
  <c r="K301"/>
  <c r="K302"/>
  <c r="K303"/>
  <c r="K287"/>
  <c r="L181"/>
  <c r="G198"/>
  <c r="G192"/>
  <c r="G188"/>
  <c r="K183"/>
  <c r="K184"/>
  <c r="K185"/>
  <c r="K186"/>
  <c r="K187"/>
  <c r="K188"/>
  <c r="K189"/>
  <c r="K190"/>
  <c r="K191"/>
  <c r="K192"/>
  <c r="K193"/>
  <c r="K194"/>
  <c r="K195"/>
  <c r="K196"/>
  <c r="K197"/>
  <c r="K198"/>
  <c r="K182"/>
  <c r="P180" i="88" l="1"/>
  <c r="Q180"/>
  <c r="T180"/>
  <c r="P13"/>
  <c r="Q13"/>
  <c r="T13"/>
  <c r="P230"/>
  <c r="T230"/>
  <c r="Q230"/>
  <c r="P281"/>
  <c r="Q281"/>
  <c r="T281"/>
  <c r="P130"/>
  <c r="Q130"/>
  <c r="H6"/>
  <c r="O230"/>
  <c r="S230"/>
  <c r="P153"/>
  <c r="T153"/>
  <c r="Q153"/>
  <c r="P206"/>
  <c r="Q206"/>
  <c r="M45"/>
  <c r="O46"/>
  <c r="S46"/>
  <c r="P47"/>
  <c r="J46"/>
  <c r="Q47"/>
  <c r="K181" i="87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06"/>
  <c r="O45" i="88" l="1"/>
  <c r="S45"/>
  <c r="M6"/>
  <c r="J45"/>
  <c r="P46"/>
  <c r="Q46"/>
  <c r="H5"/>
  <c r="G221" i="87"/>
  <c r="T221" s="1"/>
  <c r="G215"/>
  <c r="K112"/>
  <c r="K113"/>
  <c r="K114"/>
  <c r="K115"/>
  <c r="K116"/>
  <c r="K117"/>
  <c r="K118"/>
  <c r="K119"/>
  <c r="K120"/>
  <c r="K121"/>
  <c r="K122"/>
  <c r="K123"/>
  <c r="K124"/>
  <c r="K125"/>
  <c r="K126"/>
  <c r="K127"/>
  <c r="M127" s="1"/>
  <c r="N127" s="1"/>
  <c r="K128"/>
  <c r="K111"/>
  <c r="K133"/>
  <c r="K134"/>
  <c r="K135"/>
  <c r="K136"/>
  <c r="K137"/>
  <c r="K138"/>
  <c r="K139"/>
  <c r="K140"/>
  <c r="K141"/>
  <c r="K142"/>
  <c r="K143"/>
  <c r="K144"/>
  <c r="K145"/>
  <c r="K146"/>
  <c r="K147"/>
  <c r="K148"/>
  <c r="K132"/>
  <c r="K107"/>
  <c r="K12"/>
  <c r="K11"/>
  <c r="K9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15"/>
  <c r="K34"/>
  <c r="K35"/>
  <c r="M35" s="1"/>
  <c r="K36"/>
  <c r="M36" s="1"/>
  <c r="K37"/>
  <c r="M37" s="1"/>
  <c r="G32"/>
  <c r="G22"/>
  <c r="G20"/>
  <c r="G18"/>
  <c r="G16"/>
  <c r="G15"/>
  <c r="S309"/>
  <c r="Q309"/>
  <c r="P309"/>
  <c r="M309"/>
  <c r="N309" s="1"/>
  <c r="M308"/>
  <c r="N308" s="1"/>
  <c r="K308"/>
  <c r="K307"/>
  <c r="M307" s="1"/>
  <c r="L306"/>
  <c r="K306"/>
  <c r="I306"/>
  <c r="I305" s="1"/>
  <c r="H306"/>
  <c r="H305" s="1"/>
  <c r="G306"/>
  <c r="G305" s="1"/>
  <c r="K305"/>
  <c r="Q301"/>
  <c r="G294"/>
  <c r="G292"/>
  <c r="G291"/>
  <c r="G290"/>
  <c r="G289"/>
  <c r="G287"/>
  <c r="L286"/>
  <c r="L278" s="1"/>
  <c r="L277" s="1"/>
  <c r="K286"/>
  <c r="I286"/>
  <c r="I278" s="1"/>
  <c r="H286"/>
  <c r="H278" s="1"/>
  <c r="M285"/>
  <c r="N285" s="1"/>
  <c r="K285"/>
  <c r="M284"/>
  <c r="J284" s="1"/>
  <c r="K284"/>
  <c r="K283"/>
  <c r="M283" s="1"/>
  <c r="K282"/>
  <c r="M282" s="1"/>
  <c r="M281"/>
  <c r="N281" s="1"/>
  <c r="K281"/>
  <c r="K280"/>
  <c r="M280" s="1"/>
  <c r="L279"/>
  <c r="K279"/>
  <c r="I279"/>
  <c r="H279"/>
  <c r="G279"/>
  <c r="K278"/>
  <c r="K277"/>
  <c r="M275"/>
  <c r="K275"/>
  <c r="K274" s="1"/>
  <c r="G275"/>
  <c r="L274"/>
  <c r="L273" s="1"/>
  <c r="I274"/>
  <c r="I273" s="1"/>
  <c r="H274"/>
  <c r="H273" s="1"/>
  <c r="G272"/>
  <c r="G270"/>
  <c r="I269"/>
  <c r="G269"/>
  <c r="G262" s="1"/>
  <c r="I268"/>
  <c r="I267"/>
  <c r="I266"/>
  <c r="I265"/>
  <c r="I264"/>
  <c r="I263"/>
  <c r="L262"/>
  <c r="L261" s="1"/>
  <c r="M260"/>
  <c r="J260" s="1"/>
  <c r="M259"/>
  <c r="G259"/>
  <c r="L258"/>
  <c r="I258"/>
  <c r="H258"/>
  <c r="G258"/>
  <c r="L256"/>
  <c r="I256"/>
  <c r="H256"/>
  <c r="G256"/>
  <c r="K254"/>
  <c r="M254" s="1"/>
  <c r="N253"/>
  <c r="M253"/>
  <c r="S253" s="1"/>
  <c r="K253"/>
  <c r="L252"/>
  <c r="L251" s="1"/>
  <c r="K252"/>
  <c r="I252"/>
  <c r="I251" s="1"/>
  <c r="H252"/>
  <c r="G252"/>
  <c r="G251" s="1"/>
  <c r="K251"/>
  <c r="Q246"/>
  <c r="T245"/>
  <c r="Q245"/>
  <c r="Q244"/>
  <c r="G244"/>
  <c r="T241"/>
  <c r="Q241"/>
  <c r="L231"/>
  <c r="I232"/>
  <c r="I231" s="1"/>
  <c r="H232"/>
  <c r="H231" s="1"/>
  <c r="M230"/>
  <c r="M229" s="1"/>
  <c r="K230"/>
  <c r="L229"/>
  <c r="L228" s="1"/>
  <c r="K229"/>
  <c r="I229"/>
  <c r="I228" s="1"/>
  <c r="H229"/>
  <c r="H228" s="1"/>
  <c r="G229"/>
  <c r="G228" s="1"/>
  <c r="K228"/>
  <c r="K227"/>
  <c r="K226"/>
  <c r="M226" s="1"/>
  <c r="L225"/>
  <c r="L224" s="1"/>
  <c r="K225"/>
  <c r="I225"/>
  <c r="H225"/>
  <c r="G225"/>
  <c r="K224"/>
  <c r="I224"/>
  <c r="G224"/>
  <c r="Q221"/>
  <c r="T220"/>
  <c r="Q220"/>
  <c r="T219"/>
  <c r="Q219"/>
  <c r="L205"/>
  <c r="L204" s="1"/>
  <c r="L203" s="1"/>
  <c r="I205"/>
  <c r="I204" s="1"/>
  <c r="I203" s="1"/>
  <c r="H205"/>
  <c r="H204" s="1"/>
  <c r="Q202"/>
  <c r="K201"/>
  <c r="M201" s="1"/>
  <c r="L200"/>
  <c r="L199" s="1"/>
  <c r="K200"/>
  <c r="I200"/>
  <c r="I199" s="1"/>
  <c r="H200"/>
  <c r="G200"/>
  <c r="G199" s="1"/>
  <c r="K199"/>
  <c r="Q196"/>
  <c r="G196"/>
  <c r="T195"/>
  <c r="Q195"/>
  <c r="G195"/>
  <c r="T194"/>
  <c r="Q194"/>
  <c r="T192"/>
  <c r="Q192"/>
  <c r="Q190"/>
  <c r="G190"/>
  <c r="G189"/>
  <c r="G187"/>
  <c r="G186"/>
  <c r="L180"/>
  <c r="L179" s="1"/>
  <c r="I181"/>
  <c r="H181"/>
  <c r="G181"/>
  <c r="K180"/>
  <c r="I180"/>
  <c r="K178"/>
  <c r="M178" s="1"/>
  <c r="K177"/>
  <c r="M177" s="1"/>
  <c r="M176"/>
  <c r="J176" s="1"/>
  <c r="P176" s="1"/>
  <c r="K176"/>
  <c r="L175"/>
  <c r="K175"/>
  <c r="I175"/>
  <c r="I174" s="1"/>
  <c r="H175"/>
  <c r="G175"/>
  <c r="G174" s="1"/>
  <c r="L174"/>
  <c r="K174"/>
  <c r="Q170"/>
  <c r="G170"/>
  <c r="T169"/>
  <c r="Q169"/>
  <c r="G169"/>
  <c r="T168"/>
  <c r="Q168"/>
  <c r="T165"/>
  <c r="Q165"/>
  <c r="T163"/>
  <c r="Q163"/>
  <c r="L153"/>
  <c r="L152" s="1"/>
  <c r="I154"/>
  <c r="I153" s="1"/>
  <c r="I152" s="1"/>
  <c r="H154"/>
  <c r="H153" s="1"/>
  <c r="K153"/>
  <c r="Q151"/>
  <c r="K151"/>
  <c r="M151" s="1"/>
  <c r="L150"/>
  <c r="L149" s="1"/>
  <c r="K150"/>
  <c r="J150"/>
  <c r="I150"/>
  <c r="I149" s="1"/>
  <c r="H150"/>
  <c r="G150"/>
  <c r="G149" s="1"/>
  <c r="K149"/>
  <c r="H149"/>
  <c r="Q146"/>
  <c r="G146"/>
  <c r="T145"/>
  <c r="Q145"/>
  <c r="G145"/>
  <c r="G131" s="1"/>
  <c r="T144"/>
  <c r="Q144"/>
  <c r="T141"/>
  <c r="Q141"/>
  <c r="T140"/>
  <c r="Q140"/>
  <c r="L131"/>
  <c r="L130" s="1"/>
  <c r="L129" s="1"/>
  <c r="K131"/>
  <c r="I131"/>
  <c r="I130" s="1"/>
  <c r="I129" s="1"/>
  <c r="H131"/>
  <c r="H130" s="1"/>
  <c r="K130"/>
  <c r="K129"/>
  <c r="G128"/>
  <c r="Q127"/>
  <c r="T125"/>
  <c r="Q125"/>
  <c r="G125"/>
  <c r="T124"/>
  <c r="Q124"/>
  <c r="G124"/>
  <c r="T123"/>
  <c r="Q123"/>
  <c r="T121"/>
  <c r="Q121"/>
  <c r="G121"/>
  <c r="T119"/>
  <c r="Q119"/>
  <c r="G119"/>
  <c r="L109"/>
  <c r="L108" s="1"/>
  <c r="I110"/>
  <c r="I109" s="1"/>
  <c r="I108" s="1"/>
  <c r="H110"/>
  <c r="H109" s="1"/>
  <c r="H108" s="1"/>
  <c r="G110"/>
  <c r="G109" s="1"/>
  <c r="K109"/>
  <c r="K108"/>
  <c r="T107"/>
  <c r="Q107"/>
  <c r="L106"/>
  <c r="L105" s="1"/>
  <c r="K106"/>
  <c r="J106"/>
  <c r="I106"/>
  <c r="I105" s="1"/>
  <c r="H106"/>
  <c r="G106"/>
  <c r="G105" s="1"/>
  <c r="K105"/>
  <c r="J105"/>
  <c r="K104"/>
  <c r="M104" s="1"/>
  <c r="N104" s="1"/>
  <c r="K103"/>
  <c r="M103" s="1"/>
  <c r="L102"/>
  <c r="L101" s="1"/>
  <c r="K102"/>
  <c r="I102"/>
  <c r="I101" s="1"/>
  <c r="H102"/>
  <c r="G102"/>
  <c r="G101" s="1"/>
  <c r="K101"/>
  <c r="N100"/>
  <c r="M100"/>
  <c r="S100" s="1"/>
  <c r="S99"/>
  <c r="O99"/>
  <c r="N99"/>
  <c r="M99"/>
  <c r="J99" s="1"/>
  <c r="M98"/>
  <c r="J98" s="1"/>
  <c r="S97"/>
  <c r="Q97"/>
  <c r="O97"/>
  <c r="N97"/>
  <c r="M97"/>
  <c r="J97" s="1"/>
  <c r="P97" s="1"/>
  <c r="S96"/>
  <c r="M96"/>
  <c r="N96" s="1"/>
  <c r="O95"/>
  <c r="N95"/>
  <c r="M95"/>
  <c r="S95" s="1"/>
  <c r="S94"/>
  <c r="O94"/>
  <c r="N94"/>
  <c r="M94"/>
  <c r="M93"/>
  <c r="J93" s="1"/>
  <c r="I92"/>
  <c r="H92"/>
  <c r="G92"/>
  <c r="I91"/>
  <c r="I90"/>
  <c r="I89"/>
  <c r="I88"/>
  <c r="I87"/>
  <c r="I86"/>
  <c r="I85"/>
  <c r="I84"/>
  <c r="G83"/>
  <c r="I81"/>
  <c r="I74" s="1"/>
  <c r="H74"/>
  <c r="G74"/>
  <c r="I73"/>
  <c r="H54"/>
  <c r="I72"/>
  <c r="I71"/>
  <c r="I70"/>
  <c r="I69"/>
  <c r="H50"/>
  <c r="I68"/>
  <c r="I67"/>
  <c r="I66"/>
  <c r="G65"/>
  <c r="I64"/>
  <c r="I63"/>
  <c r="I62"/>
  <c r="H52"/>
  <c r="I61"/>
  <c r="I60"/>
  <c r="I59"/>
  <c r="H49"/>
  <c r="I58"/>
  <c r="I57"/>
  <c r="H47"/>
  <c r="G56"/>
  <c r="L54"/>
  <c r="G54"/>
  <c r="L53"/>
  <c r="G53"/>
  <c r="L52"/>
  <c r="G52"/>
  <c r="L51"/>
  <c r="G51"/>
  <c r="L50"/>
  <c r="I50"/>
  <c r="G50"/>
  <c r="L49"/>
  <c r="G49"/>
  <c r="L48"/>
  <c r="G48"/>
  <c r="L47"/>
  <c r="G47"/>
  <c r="K46"/>
  <c r="K45"/>
  <c r="K44"/>
  <c r="M43"/>
  <c r="S43" s="1"/>
  <c r="K43"/>
  <c r="K42"/>
  <c r="I42"/>
  <c r="H42"/>
  <c r="G42"/>
  <c r="G41" s="1"/>
  <c r="K41"/>
  <c r="I41"/>
  <c r="H41"/>
  <c r="K40"/>
  <c r="M40" s="1"/>
  <c r="K39"/>
  <c r="I39"/>
  <c r="I38" s="1"/>
  <c r="H39"/>
  <c r="G39"/>
  <c r="L38"/>
  <c r="K38"/>
  <c r="H38"/>
  <c r="G38"/>
  <c r="T35"/>
  <c r="Q35"/>
  <c r="L34"/>
  <c r="I34"/>
  <c r="H34"/>
  <c r="G34"/>
  <c r="Q31"/>
  <c r="G31"/>
  <c r="T30"/>
  <c r="Q30"/>
  <c r="T29"/>
  <c r="Q29"/>
  <c r="T26"/>
  <c r="Q26"/>
  <c r="L14"/>
  <c r="L13" s="1"/>
  <c r="I14"/>
  <c r="I13" s="1"/>
  <c r="H14"/>
  <c r="H13" s="1"/>
  <c r="K13"/>
  <c r="G12"/>
  <c r="T11"/>
  <c r="Q11"/>
  <c r="L10"/>
  <c r="K10"/>
  <c r="I10"/>
  <c r="H10"/>
  <c r="L8"/>
  <c r="K8"/>
  <c r="I8"/>
  <c r="H8"/>
  <c r="G8"/>
  <c r="K7"/>
  <c r="K6"/>
  <c r="P45" i="88" l="1"/>
  <c r="T45"/>
  <c r="Q45"/>
  <c r="J6"/>
  <c r="O6"/>
  <c r="M5"/>
  <c r="S6"/>
  <c r="J94" i="87"/>
  <c r="Q94" s="1"/>
  <c r="M92"/>
  <c r="S92" s="1"/>
  <c r="N92"/>
  <c r="I54"/>
  <c r="H7"/>
  <c r="P99"/>
  <c r="Q99"/>
  <c r="J95"/>
  <c r="P95" s="1"/>
  <c r="J96"/>
  <c r="O100"/>
  <c r="O98"/>
  <c r="L46"/>
  <c r="L45" s="1"/>
  <c r="L44" s="1"/>
  <c r="S201"/>
  <c r="N201"/>
  <c r="O201"/>
  <c r="S35"/>
  <c r="P35"/>
  <c r="K14"/>
  <c r="L255"/>
  <c r="L227" s="1"/>
  <c r="J103"/>
  <c r="N103"/>
  <c r="N102" s="1"/>
  <c r="N101" s="1"/>
  <c r="O103"/>
  <c r="S103"/>
  <c r="N259"/>
  <c r="O259"/>
  <c r="O258" s="1"/>
  <c r="S283"/>
  <c r="N283"/>
  <c r="O283"/>
  <c r="S308"/>
  <c r="S176"/>
  <c r="Q176"/>
  <c r="O43"/>
  <c r="N43"/>
  <c r="N42" s="1"/>
  <c r="N41" s="1"/>
  <c r="N176"/>
  <c r="O35"/>
  <c r="O309"/>
  <c r="I277"/>
  <c r="I179"/>
  <c r="L7"/>
  <c r="J36"/>
  <c r="T36" s="1"/>
  <c r="N36"/>
  <c r="G14"/>
  <c r="G13" s="1"/>
  <c r="J37"/>
  <c r="N37"/>
  <c r="O37"/>
  <c r="S37"/>
  <c r="N275"/>
  <c r="N274" s="1"/>
  <c r="N273" s="1"/>
  <c r="J275"/>
  <c r="T275" s="1"/>
  <c r="J254"/>
  <c r="Q254" s="1"/>
  <c r="N254"/>
  <c r="N252" s="1"/>
  <c r="N251" s="1"/>
  <c r="O254"/>
  <c r="J285"/>
  <c r="T285" s="1"/>
  <c r="O285"/>
  <c r="S285"/>
  <c r="M252"/>
  <c r="O252" s="1"/>
  <c r="J253"/>
  <c r="P308"/>
  <c r="Q308"/>
  <c r="N178"/>
  <c r="J178"/>
  <c r="P178" s="1"/>
  <c r="O275"/>
  <c r="J201"/>
  <c r="M258"/>
  <c r="S258" s="1"/>
  <c r="K258"/>
  <c r="S230"/>
  <c r="S259"/>
  <c r="M34"/>
  <c r="O34" s="1"/>
  <c r="G130"/>
  <c r="M279"/>
  <c r="O279" s="1"/>
  <c r="S280"/>
  <c r="J280"/>
  <c r="N280"/>
  <c r="N279" s="1"/>
  <c r="O280"/>
  <c r="Q149"/>
  <c r="I52"/>
  <c r="H129"/>
  <c r="M150"/>
  <c r="P150" s="1"/>
  <c r="N151"/>
  <c r="N150" s="1"/>
  <c r="N149" s="1"/>
  <c r="P151"/>
  <c r="S151"/>
  <c r="S34"/>
  <c r="G108"/>
  <c r="P284"/>
  <c r="Q284"/>
  <c r="T284"/>
  <c r="T170"/>
  <c r="O229"/>
  <c r="O228" s="1"/>
  <c r="M228"/>
  <c r="S228" s="1"/>
  <c r="M251"/>
  <c r="S251" s="1"/>
  <c r="P98"/>
  <c r="Q98"/>
  <c r="J307"/>
  <c r="N307"/>
  <c r="N306" s="1"/>
  <c r="N305" s="1"/>
  <c r="S307"/>
  <c r="M306"/>
  <c r="O104"/>
  <c r="S104"/>
  <c r="J104"/>
  <c r="G261"/>
  <c r="H152"/>
  <c r="P260"/>
  <c r="Q260"/>
  <c r="P93"/>
  <c r="Q93"/>
  <c r="G46"/>
  <c r="M102"/>
  <c r="G255"/>
  <c r="N177"/>
  <c r="S177"/>
  <c r="M175"/>
  <c r="J177"/>
  <c r="J40"/>
  <c r="M39"/>
  <c r="N40"/>
  <c r="N39" s="1"/>
  <c r="N38" s="1"/>
  <c r="O40"/>
  <c r="S40"/>
  <c r="I7"/>
  <c r="H277"/>
  <c r="I65"/>
  <c r="H180"/>
  <c r="G180"/>
  <c r="J226"/>
  <c r="N226"/>
  <c r="N225" s="1"/>
  <c r="N224" s="1"/>
  <c r="O226"/>
  <c r="S226"/>
  <c r="M225"/>
  <c r="H174"/>
  <c r="J282"/>
  <c r="N282"/>
  <c r="O282"/>
  <c r="S282"/>
  <c r="H105"/>
  <c r="Q105" s="1"/>
  <c r="Q106"/>
  <c r="O127"/>
  <c r="P127"/>
  <c r="S127"/>
  <c r="G274"/>
  <c r="S275"/>
  <c r="I48"/>
  <c r="T105"/>
  <c r="O281"/>
  <c r="S281"/>
  <c r="J281"/>
  <c r="G286"/>
  <c r="H203"/>
  <c r="J100"/>
  <c r="H48"/>
  <c r="H46" s="1"/>
  <c r="H53"/>
  <c r="T190"/>
  <c r="O230"/>
  <c r="J43"/>
  <c r="I53"/>
  <c r="J259"/>
  <c r="J283"/>
  <c r="S93"/>
  <c r="S178"/>
  <c r="N230"/>
  <c r="N229" s="1"/>
  <c r="N228" s="1"/>
  <c r="O253"/>
  <c r="M274"/>
  <c r="H65"/>
  <c r="I51"/>
  <c r="O96"/>
  <c r="T106"/>
  <c r="G232"/>
  <c r="S260"/>
  <c r="S284"/>
  <c r="G10"/>
  <c r="S36"/>
  <c r="M42"/>
  <c r="H51"/>
  <c r="O93"/>
  <c r="O92" s="1"/>
  <c r="O178"/>
  <c r="G205"/>
  <c r="J230"/>
  <c r="N93"/>
  <c r="S229"/>
  <c r="O260"/>
  <c r="O284"/>
  <c r="I83"/>
  <c r="S98"/>
  <c r="O36"/>
  <c r="I49"/>
  <c r="I56"/>
  <c r="H83"/>
  <c r="T244"/>
  <c r="N260"/>
  <c r="I262"/>
  <c r="I261" s="1"/>
  <c r="I255" s="1"/>
  <c r="I227" s="1"/>
  <c r="N284"/>
  <c r="T196"/>
  <c r="H199"/>
  <c r="H251"/>
  <c r="H262"/>
  <c r="H56"/>
  <c r="J149"/>
  <c r="T150"/>
  <c r="N98"/>
  <c r="H101"/>
  <c r="T146"/>
  <c r="T246"/>
  <c r="S254"/>
  <c r="T31"/>
  <c r="Q150"/>
  <c r="I47"/>
  <c r="H224"/>
  <c r="H91" i="86"/>
  <c r="H90"/>
  <c r="H88"/>
  <c r="H86"/>
  <c r="H84"/>
  <c r="I81"/>
  <c r="H73"/>
  <c r="H72"/>
  <c r="H71"/>
  <c r="H70"/>
  <c r="H69"/>
  <c r="H68"/>
  <c r="H67"/>
  <c r="H48" s="1"/>
  <c r="H66"/>
  <c r="H64"/>
  <c r="H63"/>
  <c r="H62"/>
  <c r="H52" s="1"/>
  <c r="H61"/>
  <c r="H60"/>
  <c r="H59"/>
  <c r="H58"/>
  <c r="H57"/>
  <c r="L47"/>
  <c r="L48"/>
  <c r="L49"/>
  <c r="L50"/>
  <c r="L51"/>
  <c r="L52"/>
  <c r="L53"/>
  <c r="L54"/>
  <c r="H50"/>
  <c r="G48"/>
  <c r="G49"/>
  <c r="G50"/>
  <c r="G51"/>
  <c r="G52"/>
  <c r="G53"/>
  <c r="G54"/>
  <c r="G47"/>
  <c r="G92"/>
  <c r="S100"/>
  <c r="O100"/>
  <c r="N100"/>
  <c r="M100"/>
  <c r="J100" s="1"/>
  <c r="O99"/>
  <c r="N99"/>
  <c r="M99"/>
  <c r="J99" s="1"/>
  <c r="O98"/>
  <c r="N98"/>
  <c r="M98"/>
  <c r="S98" s="1"/>
  <c r="N97"/>
  <c r="M97"/>
  <c r="J97" s="1"/>
  <c r="N96"/>
  <c r="M96"/>
  <c r="O96" s="1"/>
  <c r="M95"/>
  <c r="M94"/>
  <c r="M93"/>
  <c r="J93" s="1"/>
  <c r="I92"/>
  <c r="L92"/>
  <c r="K92"/>
  <c r="H92"/>
  <c r="G12"/>
  <c r="G31"/>
  <c r="G32"/>
  <c r="P6" i="88" l="1"/>
  <c r="J5"/>
  <c r="Q6"/>
  <c r="O5"/>
  <c r="S5"/>
  <c r="P94" i="87"/>
  <c r="Q95"/>
  <c r="Q96"/>
  <c r="P96"/>
  <c r="L6"/>
  <c r="L5" s="1"/>
  <c r="S252"/>
  <c r="Q285"/>
  <c r="P285"/>
  <c r="N175"/>
  <c r="N174" s="1"/>
  <c r="P254"/>
  <c r="N258"/>
  <c r="Q103"/>
  <c r="T103"/>
  <c r="P103"/>
  <c r="Q178"/>
  <c r="P36"/>
  <c r="Q36"/>
  <c r="N34"/>
  <c r="P37"/>
  <c r="Q37"/>
  <c r="P253"/>
  <c r="Q253"/>
  <c r="J34"/>
  <c r="T34" s="1"/>
  <c r="J252"/>
  <c r="P275"/>
  <c r="Q275"/>
  <c r="J274"/>
  <c r="J273" s="1"/>
  <c r="S279"/>
  <c r="P201"/>
  <c r="J200"/>
  <c r="Q201"/>
  <c r="H45"/>
  <c r="P100"/>
  <c r="Q100"/>
  <c r="H261"/>
  <c r="G204"/>
  <c r="G45"/>
  <c r="G129"/>
  <c r="M224"/>
  <c r="S224" s="1"/>
  <c r="O225"/>
  <c r="O175"/>
  <c r="M174"/>
  <c r="S174" s="1"/>
  <c r="O42"/>
  <c r="S42"/>
  <c r="M41"/>
  <c r="M305"/>
  <c r="S305" s="1"/>
  <c r="O306"/>
  <c r="S306"/>
  <c r="P281"/>
  <c r="Q281"/>
  <c r="T281"/>
  <c r="P177"/>
  <c r="Q177"/>
  <c r="M38"/>
  <c r="S39"/>
  <c r="O39"/>
  <c r="O102"/>
  <c r="M101"/>
  <c r="M149"/>
  <c r="S149" s="1"/>
  <c r="O150"/>
  <c r="P252"/>
  <c r="J251"/>
  <c r="P251" s="1"/>
  <c r="P274"/>
  <c r="P104"/>
  <c r="Q104"/>
  <c r="J102"/>
  <c r="Q43"/>
  <c r="J42"/>
  <c r="P43"/>
  <c r="P307"/>
  <c r="Q307"/>
  <c r="J306"/>
  <c r="J279"/>
  <c r="T280"/>
  <c r="Q280"/>
  <c r="P280"/>
  <c r="S225"/>
  <c r="O274"/>
  <c r="O273" s="1"/>
  <c r="M273"/>
  <c r="T259"/>
  <c r="J258"/>
  <c r="P259"/>
  <c r="Q259"/>
  <c r="G231"/>
  <c r="T283"/>
  <c r="P283"/>
  <c r="Q283"/>
  <c r="G278"/>
  <c r="G179"/>
  <c r="I46"/>
  <c r="I45" s="1"/>
  <c r="I44" s="1"/>
  <c r="I6" s="1"/>
  <c r="I5" s="1"/>
  <c r="S150"/>
  <c r="J175"/>
  <c r="G153"/>
  <c r="J39"/>
  <c r="P40"/>
  <c r="Q40"/>
  <c r="T40"/>
  <c r="G7"/>
  <c r="S175"/>
  <c r="Q230"/>
  <c r="P230"/>
  <c r="J229"/>
  <c r="S274"/>
  <c r="G273"/>
  <c r="P282"/>
  <c r="Q282"/>
  <c r="H179"/>
  <c r="P226"/>
  <c r="Q226"/>
  <c r="J225"/>
  <c r="J92"/>
  <c r="S102"/>
  <c r="H54" i="86"/>
  <c r="H53"/>
  <c r="H51"/>
  <c r="H49"/>
  <c r="H47"/>
  <c r="S93"/>
  <c r="N93"/>
  <c r="J95"/>
  <c r="O95"/>
  <c r="S95"/>
  <c r="P100"/>
  <c r="Q100"/>
  <c r="O94"/>
  <c r="M92"/>
  <c r="S92" s="1"/>
  <c r="S94"/>
  <c r="J94"/>
  <c r="P99"/>
  <c r="Q99"/>
  <c r="P93"/>
  <c r="Q93"/>
  <c r="P97"/>
  <c r="Q97"/>
  <c r="N95"/>
  <c r="N94"/>
  <c r="J96"/>
  <c r="J98"/>
  <c r="O93"/>
  <c r="O92" s="1"/>
  <c r="S97"/>
  <c r="S99"/>
  <c r="O97"/>
  <c r="S96"/>
  <c r="P5" i="88" l="1"/>
  <c r="Q5"/>
  <c r="T274" i="87"/>
  <c r="Q274"/>
  <c r="P149"/>
  <c r="Q252"/>
  <c r="T252"/>
  <c r="T200"/>
  <c r="Q200"/>
  <c r="J199"/>
  <c r="P34"/>
  <c r="Q34"/>
  <c r="P175"/>
  <c r="J174"/>
  <c r="Q175"/>
  <c r="T175"/>
  <c r="J305"/>
  <c r="P306"/>
  <c r="Q306"/>
  <c r="T306"/>
  <c r="H255"/>
  <c r="S273"/>
  <c r="T273"/>
  <c r="G227"/>
  <c r="G203"/>
  <c r="J38"/>
  <c r="P39"/>
  <c r="T39"/>
  <c r="Q39"/>
  <c r="P273"/>
  <c r="Q273"/>
  <c r="O38"/>
  <c r="S38"/>
  <c r="P229"/>
  <c r="J228"/>
  <c r="Q229"/>
  <c r="H44"/>
  <c r="P258"/>
  <c r="Q258"/>
  <c r="T258"/>
  <c r="P102"/>
  <c r="J101"/>
  <c r="T102"/>
  <c r="Q102"/>
  <c r="O101"/>
  <c r="S101"/>
  <c r="G44"/>
  <c r="J224"/>
  <c r="P225"/>
  <c r="T225"/>
  <c r="Q225"/>
  <c r="G277"/>
  <c r="P92"/>
  <c r="Q92"/>
  <c r="G152"/>
  <c r="P279"/>
  <c r="T279"/>
  <c r="Q279"/>
  <c r="O41"/>
  <c r="S41"/>
  <c r="J41"/>
  <c r="P42"/>
  <c r="Q42"/>
  <c r="Q251"/>
  <c r="N92" i="86"/>
  <c r="P96"/>
  <c r="Q96"/>
  <c r="P95"/>
  <c r="Q95"/>
  <c r="Q98"/>
  <c r="P98"/>
  <c r="P94"/>
  <c r="Q94"/>
  <c r="J92"/>
  <c r="Q199" i="87" l="1"/>
  <c r="P174"/>
  <c r="Q174"/>
  <c r="P305"/>
  <c r="Q305"/>
  <c r="P224"/>
  <c r="Q224"/>
  <c r="P228"/>
  <c r="Q228"/>
  <c r="H6"/>
  <c r="P101"/>
  <c r="T101"/>
  <c r="Q101"/>
  <c r="P41"/>
  <c r="Q41"/>
  <c r="H227"/>
  <c r="P38"/>
  <c r="Q38"/>
  <c r="T38"/>
  <c r="G6"/>
  <c r="P92" i="86"/>
  <c r="Q92"/>
  <c r="G5" i="87" l="1"/>
  <c r="H5"/>
  <c r="L260" i="86"/>
  <c r="H260"/>
  <c r="H267"/>
  <c r="H266"/>
  <c r="H265"/>
  <c r="H262"/>
  <c r="H261"/>
  <c r="I267" l="1"/>
  <c r="I266"/>
  <c r="I265"/>
  <c r="I262"/>
  <c r="I263"/>
  <c r="I264"/>
  <c r="I261"/>
  <c r="G267"/>
  <c r="G270"/>
  <c r="G268"/>
  <c r="H272"/>
  <c r="I272"/>
  <c r="L272"/>
  <c r="H256"/>
  <c r="I256"/>
  <c r="L256"/>
  <c r="G256"/>
  <c r="G257"/>
  <c r="I254"/>
  <c r="L254"/>
  <c r="G255"/>
  <c r="I230"/>
  <c r="L230"/>
  <c r="I231"/>
  <c r="L231"/>
  <c r="H231"/>
  <c r="N247"/>
  <c r="G248"/>
  <c r="G245"/>
  <c r="G243"/>
  <c r="G292"/>
  <c r="G290"/>
  <c r="G289"/>
  <c r="G288"/>
  <c r="G287"/>
  <c r="G285"/>
  <c r="M127"/>
  <c r="S127" s="1"/>
  <c r="Q127"/>
  <c r="G110"/>
  <c r="G128"/>
  <c r="G125"/>
  <c r="G124"/>
  <c r="G121"/>
  <c r="G119"/>
  <c r="G220"/>
  <c r="I260" l="1"/>
  <c r="N127"/>
  <c r="O127"/>
  <c r="P127"/>
  <c r="G189" l="1"/>
  <c r="G185"/>
  <c r="G188"/>
  <c r="G186"/>
  <c r="Q307"/>
  <c r="M307"/>
  <c r="N307" s="1"/>
  <c r="K306"/>
  <c r="M306" s="1"/>
  <c r="K305"/>
  <c r="M305" s="1"/>
  <c r="L304"/>
  <c r="K304"/>
  <c r="I304"/>
  <c r="I303" s="1"/>
  <c r="H304"/>
  <c r="G304"/>
  <c r="G303" s="1"/>
  <c r="K303"/>
  <c r="L284"/>
  <c r="L276" s="1"/>
  <c r="L275" s="1"/>
  <c r="K284"/>
  <c r="I284"/>
  <c r="H284"/>
  <c r="H276" s="1"/>
  <c r="G284"/>
  <c r="G276" s="1"/>
  <c r="K283"/>
  <c r="M283" s="1"/>
  <c r="K282"/>
  <c r="M282" s="1"/>
  <c r="J282" s="1"/>
  <c r="K281"/>
  <c r="M281" s="1"/>
  <c r="N281" s="1"/>
  <c r="K280"/>
  <c r="M280" s="1"/>
  <c r="K279"/>
  <c r="M279" s="1"/>
  <c r="M278"/>
  <c r="J278" s="1"/>
  <c r="K278"/>
  <c r="L277"/>
  <c r="K277"/>
  <c r="I277"/>
  <c r="H277"/>
  <c r="G277"/>
  <c r="K276"/>
  <c r="I276"/>
  <c r="K275"/>
  <c r="K273"/>
  <c r="G273"/>
  <c r="G272" s="1"/>
  <c r="L271"/>
  <c r="K271"/>
  <c r="I271"/>
  <c r="L259"/>
  <c r="L253" s="1"/>
  <c r="H259"/>
  <c r="G260"/>
  <c r="G259" s="1"/>
  <c r="K258"/>
  <c r="M258" s="1"/>
  <c r="J258" s="1"/>
  <c r="K257"/>
  <c r="H254"/>
  <c r="G254"/>
  <c r="M252"/>
  <c r="J252" s="1"/>
  <c r="K252"/>
  <c r="K251"/>
  <c r="M251" s="1"/>
  <c r="L250"/>
  <c r="L249" s="1"/>
  <c r="K250"/>
  <c r="I250"/>
  <c r="I249" s="1"/>
  <c r="H250"/>
  <c r="G250"/>
  <c r="G249" s="1"/>
  <c r="K249"/>
  <c r="T245"/>
  <c r="Q245"/>
  <c r="T244"/>
  <c r="Q244"/>
  <c r="T243"/>
  <c r="Q243"/>
  <c r="T240"/>
  <c r="Q240"/>
  <c r="H230"/>
  <c r="G231"/>
  <c r="G230" s="1"/>
  <c r="K229"/>
  <c r="M229" s="1"/>
  <c r="L228"/>
  <c r="L227" s="1"/>
  <c r="K228"/>
  <c r="I228"/>
  <c r="I227" s="1"/>
  <c r="H228"/>
  <c r="H227" s="1"/>
  <c r="G228"/>
  <c r="G227" s="1"/>
  <c r="K227"/>
  <c r="K226"/>
  <c r="K225"/>
  <c r="M225" s="1"/>
  <c r="L224"/>
  <c r="L223" s="1"/>
  <c r="K224"/>
  <c r="I224"/>
  <c r="I223" s="1"/>
  <c r="H224"/>
  <c r="G224"/>
  <c r="G223" s="1"/>
  <c r="K223"/>
  <c r="T220"/>
  <c r="Q220"/>
  <c r="T219"/>
  <c r="Q219"/>
  <c r="L204"/>
  <c r="L203" s="1"/>
  <c r="I204"/>
  <c r="I203" s="1"/>
  <c r="I202" s="1"/>
  <c r="H204"/>
  <c r="H203" s="1"/>
  <c r="G204"/>
  <c r="G203" s="1"/>
  <c r="Q201"/>
  <c r="K200"/>
  <c r="M200" s="1"/>
  <c r="J200" s="1"/>
  <c r="L199"/>
  <c r="L198" s="1"/>
  <c r="K199"/>
  <c r="I199"/>
  <c r="I198" s="1"/>
  <c r="H199"/>
  <c r="G199"/>
  <c r="K198"/>
  <c r="Q195"/>
  <c r="G195"/>
  <c r="T195" s="1"/>
  <c r="T194"/>
  <c r="Q194"/>
  <c r="G194"/>
  <c r="T193"/>
  <c r="Q193"/>
  <c r="T191"/>
  <c r="Q191"/>
  <c r="L180"/>
  <c r="L179" s="1"/>
  <c r="K180"/>
  <c r="I180"/>
  <c r="I179" s="1"/>
  <c r="H180"/>
  <c r="H179" s="1"/>
  <c r="K179"/>
  <c r="K178"/>
  <c r="K177"/>
  <c r="M177" s="1"/>
  <c r="J177" s="1"/>
  <c r="K176"/>
  <c r="M176" s="1"/>
  <c r="S176" s="1"/>
  <c r="K175"/>
  <c r="M175" s="1"/>
  <c r="L174"/>
  <c r="L173" s="1"/>
  <c r="K174"/>
  <c r="I174"/>
  <c r="I173" s="1"/>
  <c r="H174"/>
  <c r="G174"/>
  <c r="G173" s="1"/>
  <c r="K173"/>
  <c r="Q170"/>
  <c r="G170"/>
  <c r="T170" s="1"/>
  <c r="Q169"/>
  <c r="G169"/>
  <c r="T168"/>
  <c r="Q168"/>
  <c r="T165"/>
  <c r="Q165"/>
  <c r="T163"/>
  <c r="Q163"/>
  <c r="L154"/>
  <c r="L153" s="1"/>
  <c r="K154"/>
  <c r="I154"/>
  <c r="I153" s="1"/>
  <c r="H154"/>
  <c r="H153" s="1"/>
  <c r="K153"/>
  <c r="K152"/>
  <c r="Q151"/>
  <c r="K151"/>
  <c r="M151" s="1"/>
  <c r="L150"/>
  <c r="L149" s="1"/>
  <c r="K150"/>
  <c r="J150"/>
  <c r="J149" s="1"/>
  <c r="I150"/>
  <c r="I149" s="1"/>
  <c r="H150"/>
  <c r="G150"/>
  <c r="K149"/>
  <c r="T148"/>
  <c r="Q148"/>
  <c r="T146"/>
  <c r="Q146"/>
  <c r="G146"/>
  <c r="Q145"/>
  <c r="G145"/>
  <c r="T145" s="1"/>
  <c r="T144"/>
  <c r="Q144"/>
  <c r="T140"/>
  <c r="Q140"/>
  <c r="L131"/>
  <c r="L130" s="1"/>
  <c r="K131"/>
  <c r="I131"/>
  <c r="I130" s="1"/>
  <c r="H131"/>
  <c r="H130" s="1"/>
  <c r="K130"/>
  <c r="K129"/>
  <c r="T125"/>
  <c r="Q125"/>
  <c r="T124"/>
  <c r="Q124"/>
  <c r="T123"/>
  <c r="Q123"/>
  <c r="T121"/>
  <c r="Q121"/>
  <c r="T119"/>
  <c r="Q119"/>
  <c r="L110"/>
  <c r="L109" s="1"/>
  <c r="L108" s="1"/>
  <c r="K110"/>
  <c r="I110"/>
  <c r="I109" s="1"/>
  <c r="I108" s="1"/>
  <c r="H110"/>
  <c r="H109" s="1"/>
  <c r="G109"/>
  <c r="G108" s="1"/>
  <c r="K109"/>
  <c r="K108"/>
  <c r="T107"/>
  <c r="Q107"/>
  <c r="L106"/>
  <c r="L105" s="1"/>
  <c r="K106"/>
  <c r="J106"/>
  <c r="I106"/>
  <c r="I105" s="1"/>
  <c r="H106"/>
  <c r="G106"/>
  <c r="G105" s="1"/>
  <c r="K105"/>
  <c r="K104"/>
  <c r="M104" s="1"/>
  <c r="K103"/>
  <c r="M103" s="1"/>
  <c r="L102"/>
  <c r="L101" s="1"/>
  <c r="K102"/>
  <c r="I102"/>
  <c r="I101" s="1"/>
  <c r="H102"/>
  <c r="H101" s="1"/>
  <c r="G102"/>
  <c r="G101" s="1"/>
  <c r="K101"/>
  <c r="I91"/>
  <c r="I90"/>
  <c r="I89"/>
  <c r="I88"/>
  <c r="I87"/>
  <c r="I86"/>
  <c r="I85"/>
  <c r="I84"/>
  <c r="L83"/>
  <c r="K83"/>
  <c r="H83"/>
  <c r="G83"/>
  <c r="L74"/>
  <c r="K74"/>
  <c r="I74"/>
  <c r="H74"/>
  <c r="G74"/>
  <c r="I73"/>
  <c r="I72"/>
  <c r="I71"/>
  <c r="I70"/>
  <c r="I69"/>
  <c r="I68"/>
  <c r="I67"/>
  <c r="I66"/>
  <c r="L65"/>
  <c r="K65"/>
  <c r="H65"/>
  <c r="G65"/>
  <c r="I64"/>
  <c r="I63"/>
  <c r="I62"/>
  <c r="I61"/>
  <c r="I60"/>
  <c r="I50" s="1"/>
  <c r="I59"/>
  <c r="I49" s="1"/>
  <c r="I58"/>
  <c r="I57"/>
  <c r="L56"/>
  <c r="K56"/>
  <c r="H56"/>
  <c r="G56"/>
  <c r="K46"/>
  <c r="K45"/>
  <c r="K44"/>
  <c r="K43"/>
  <c r="M43" s="1"/>
  <c r="K42"/>
  <c r="I42"/>
  <c r="I41" s="1"/>
  <c r="H42"/>
  <c r="H41" s="1"/>
  <c r="G42"/>
  <c r="G41" s="1"/>
  <c r="K41"/>
  <c r="M40"/>
  <c r="J40" s="1"/>
  <c r="K40"/>
  <c r="K39"/>
  <c r="I39"/>
  <c r="I38" s="1"/>
  <c r="H39"/>
  <c r="H38" s="1"/>
  <c r="G39"/>
  <c r="G38" s="1"/>
  <c r="L38"/>
  <c r="K38"/>
  <c r="M37"/>
  <c r="N37" s="1"/>
  <c r="K37"/>
  <c r="K36"/>
  <c r="M36" s="1"/>
  <c r="T35"/>
  <c r="Q35"/>
  <c r="M35"/>
  <c r="K35"/>
  <c r="L34"/>
  <c r="K34"/>
  <c r="I34"/>
  <c r="H34"/>
  <c r="G34"/>
  <c r="T31"/>
  <c r="Q31"/>
  <c r="T30"/>
  <c r="Q30"/>
  <c r="T29"/>
  <c r="Q29"/>
  <c r="L14"/>
  <c r="L13" s="1"/>
  <c r="K14"/>
  <c r="I14"/>
  <c r="I13" s="1"/>
  <c r="H14"/>
  <c r="H13" s="1"/>
  <c r="G14"/>
  <c r="G13" s="1"/>
  <c r="K13"/>
  <c r="T11"/>
  <c r="Q11"/>
  <c r="L10"/>
  <c r="K10"/>
  <c r="I10"/>
  <c r="H10"/>
  <c r="G10"/>
  <c r="G7" s="1"/>
  <c r="L8"/>
  <c r="K8"/>
  <c r="I8"/>
  <c r="H8"/>
  <c r="G8"/>
  <c r="K7"/>
  <c r="H7"/>
  <c r="K6"/>
  <c r="I83" l="1"/>
  <c r="I48"/>
  <c r="I47"/>
  <c r="I54"/>
  <c r="I53"/>
  <c r="I52"/>
  <c r="I51"/>
  <c r="I65"/>
  <c r="Q150"/>
  <c r="H46"/>
  <c r="H45" s="1"/>
  <c r="G154"/>
  <c r="G153" s="1"/>
  <c r="G46"/>
  <c r="G45" s="1"/>
  <c r="L129"/>
  <c r="I178"/>
  <c r="I56"/>
  <c r="Q106"/>
  <c r="H105"/>
  <c r="I129"/>
  <c r="I275"/>
  <c r="L46"/>
  <c r="L45" s="1"/>
  <c r="L44" s="1"/>
  <c r="I7"/>
  <c r="L152"/>
  <c r="J283"/>
  <c r="P283" s="1"/>
  <c r="O283"/>
  <c r="S283"/>
  <c r="M273"/>
  <c r="M272" s="1"/>
  <c r="K272"/>
  <c r="M257"/>
  <c r="S257" s="1"/>
  <c r="K256"/>
  <c r="L7"/>
  <c r="G253"/>
  <c r="G226" s="1"/>
  <c r="N40"/>
  <c r="N39" s="1"/>
  <c r="N38" s="1"/>
  <c r="I152"/>
  <c r="P151"/>
  <c r="N151"/>
  <c r="N150" s="1"/>
  <c r="N149" s="1"/>
  <c r="S151"/>
  <c r="N279"/>
  <c r="O279"/>
  <c r="S279"/>
  <c r="J279"/>
  <c r="J103"/>
  <c r="T103" s="1"/>
  <c r="N103"/>
  <c r="S103"/>
  <c r="O103"/>
  <c r="M174"/>
  <c r="M173" s="1"/>
  <c r="S173" s="1"/>
  <c r="J175"/>
  <c r="Q175" s="1"/>
  <c r="S40"/>
  <c r="M277"/>
  <c r="O277" s="1"/>
  <c r="T26"/>
  <c r="L178"/>
  <c r="G180"/>
  <c r="G179" s="1"/>
  <c r="Q283"/>
  <c r="J306"/>
  <c r="N306"/>
  <c r="S306"/>
  <c r="P258"/>
  <c r="Q258"/>
  <c r="P282"/>
  <c r="Q282"/>
  <c r="T282"/>
  <c r="M34"/>
  <c r="H253"/>
  <c r="Q200"/>
  <c r="P200"/>
  <c r="J199"/>
  <c r="Q199" s="1"/>
  <c r="J229"/>
  <c r="O229"/>
  <c r="N229"/>
  <c r="N228" s="1"/>
  <c r="N227" s="1"/>
  <c r="S229"/>
  <c r="M228"/>
  <c r="Q177"/>
  <c r="P177"/>
  <c r="G275"/>
  <c r="I259"/>
  <c r="I253" s="1"/>
  <c r="I226" s="1"/>
  <c r="J104"/>
  <c r="N104"/>
  <c r="S104"/>
  <c r="O104"/>
  <c r="M102"/>
  <c r="J305"/>
  <c r="N305"/>
  <c r="S305"/>
  <c r="M304"/>
  <c r="M42"/>
  <c r="S42" s="1"/>
  <c r="J43"/>
  <c r="N43"/>
  <c r="N42" s="1"/>
  <c r="N41" s="1"/>
  <c r="S43"/>
  <c r="O43"/>
  <c r="Q40"/>
  <c r="P40"/>
  <c r="T40"/>
  <c r="J39"/>
  <c r="Q39" s="1"/>
  <c r="N251"/>
  <c r="O251"/>
  <c r="S251"/>
  <c r="M250"/>
  <c r="J251"/>
  <c r="J277"/>
  <c r="T278"/>
  <c r="P278"/>
  <c r="Q278"/>
  <c r="N225"/>
  <c r="N224" s="1"/>
  <c r="N223" s="1"/>
  <c r="O225"/>
  <c r="S225"/>
  <c r="M224"/>
  <c r="J225"/>
  <c r="N36"/>
  <c r="N34" s="1"/>
  <c r="O36"/>
  <c r="S36"/>
  <c r="J36"/>
  <c r="P252"/>
  <c r="Q252"/>
  <c r="S273"/>
  <c r="J280"/>
  <c r="N280"/>
  <c r="O280"/>
  <c r="S280"/>
  <c r="L202"/>
  <c r="L226"/>
  <c r="H108"/>
  <c r="T218"/>
  <c r="Q218"/>
  <c r="H149"/>
  <c r="Q149" s="1"/>
  <c r="G149"/>
  <c r="N176"/>
  <c r="G198"/>
  <c r="S258"/>
  <c r="S278"/>
  <c r="N283"/>
  <c r="S307"/>
  <c r="T106"/>
  <c r="G131"/>
  <c r="G202"/>
  <c r="H271"/>
  <c r="J281"/>
  <c r="H303"/>
  <c r="S35"/>
  <c r="T169"/>
  <c r="G271"/>
  <c r="P307"/>
  <c r="H198"/>
  <c r="P35"/>
  <c r="S37"/>
  <c r="J105"/>
  <c r="Q105" s="1"/>
  <c r="M150"/>
  <c r="J176"/>
  <c r="H223"/>
  <c r="H249"/>
  <c r="O258"/>
  <c r="O278"/>
  <c r="O307"/>
  <c r="O35"/>
  <c r="M39"/>
  <c r="S175"/>
  <c r="N258"/>
  <c r="N278"/>
  <c r="N277" s="1"/>
  <c r="J37"/>
  <c r="S252"/>
  <c r="O37"/>
  <c r="S282"/>
  <c r="N175"/>
  <c r="O252"/>
  <c r="O282"/>
  <c r="S177"/>
  <c r="S200"/>
  <c r="N252"/>
  <c r="N282"/>
  <c r="O177"/>
  <c r="O200"/>
  <c r="O40"/>
  <c r="H173"/>
  <c r="N177"/>
  <c r="N200"/>
  <c r="S281"/>
  <c r="T150"/>
  <c r="O281"/>
  <c r="L249" i="84"/>
  <c r="I250"/>
  <c r="I251"/>
  <c r="I254"/>
  <c r="I255"/>
  <c r="I256"/>
  <c r="H256"/>
  <c r="H254"/>
  <c r="H255"/>
  <c r="H251"/>
  <c r="H250"/>
  <c r="T283" i="86" l="1"/>
  <c r="O257"/>
  <c r="O256" s="1"/>
  <c r="N257"/>
  <c r="N256" s="1"/>
  <c r="L6"/>
  <c r="L5" s="1"/>
  <c r="P103"/>
  <c r="J257"/>
  <c r="M256"/>
  <c r="S256" s="1"/>
  <c r="J273"/>
  <c r="P273" s="1"/>
  <c r="O273"/>
  <c r="N273"/>
  <c r="Q26"/>
  <c r="P175"/>
  <c r="S277"/>
  <c r="P279"/>
  <c r="T279"/>
  <c r="J102"/>
  <c r="P102" s="1"/>
  <c r="Q103"/>
  <c r="N102"/>
  <c r="N101" s="1"/>
  <c r="Q279"/>
  <c r="N174"/>
  <c r="N173" s="1"/>
  <c r="O174"/>
  <c r="S174"/>
  <c r="T141"/>
  <c r="Q141"/>
  <c r="J174"/>
  <c r="J173" s="1"/>
  <c r="P173" s="1"/>
  <c r="H275"/>
  <c r="Q299"/>
  <c r="J198"/>
  <c r="Q198" s="1"/>
  <c r="M223"/>
  <c r="S223" s="1"/>
  <c r="O224"/>
  <c r="S224"/>
  <c r="P104"/>
  <c r="Q104"/>
  <c r="Q229"/>
  <c r="J228"/>
  <c r="P229"/>
  <c r="I46"/>
  <c r="I45" s="1"/>
  <c r="I44" s="1"/>
  <c r="I6" s="1"/>
  <c r="I5" s="1"/>
  <c r="H226"/>
  <c r="P225"/>
  <c r="Q225"/>
  <c r="J224"/>
  <c r="M149"/>
  <c r="P149" s="1"/>
  <c r="O150"/>
  <c r="P150"/>
  <c r="J42"/>
  <c r="P43"/>
  <c r="Q43"/>
  <c r="O102"/>
  <c r="S102"/>
  <c r="M101"/>
  <c r="S228"/>
  <c r="M227"/>
  <c r="O228"/>
  <c r="O227" s="1"/>
  <c r="Q189"/>
  <c r="T189"/>
  <c r="O34"/>
  <c r="S34"/>
  <c r="H129"/>
  <c r="S150"/>
  <c r="P251"/>
  <c r="Q251"/>
  <c r="J250"/>
  <c r="Q176"/>
  <c r="P176"/>
  <c r="P277"/>
  <c r="T277"/>
  <c r="Q277"/>
  <c r="H152"/>
  <c r="T105"/>
  <c r="S272"/>
  <c r="M271"/>
  <c r="S271" s="1"/>
  <c r="O272"/>
  <c r="O271" s="1"/>
  <c r="P281"/>
  <c r="Q281"/>
  <c r="T281"/>
  <c r="O42"/>
  <c r="M41"/>
  <c r="G130"/>
  <c r="J34"/>
  <c r="P36"/>
  <c r="Q36"/>
  <c r="T36"/>
  <c r="P305"/>
  <c r="Q305"/>
  <c r="J304"/>
  <c r="H44"/>
  <c r="T199"/>
  <c r="N304"/>
  <c r="N303" s="1"/>
  <c r="M249"/>
  <c r="S249" s="1"/>
  <c r="O250"/>
  <c r="S250"/>
  <c r="P280"/>
  <c r="Q280"/>
  <c r="G178"/>
  <c r="G44"/>
  <c r="M38"/>
  <c r="S39"/>
  <c r="O39"/>
  <c r="T39"/>
  <c r="J38"/>
  <c r="P39"/>
  <c r="G152"/>
  <c r="H202"/>
  <c r="P37"/>
  <c r="Q37"/>
  <c r="M303"/>
  <c r="S303" s="1"/>
  <c r="O304"/>
  <c r="S304"/>
  <c r="P306"/>
  <c r="Q306"/>
  <c r="H178"/>
  <c r="N250"/>
  <c r="N249" s="1"/>
  <c r="H261" i="84"/>
  <c r="I261"/>
  <c r="L261"/>
  <c r="G261"/>
  <c r="G262"/>
  <c r="G248"/>
  <c r="K259"/>
  <c r="M259" s="1"/>
  <c r="G136"/>
  <c r="G135"/>
  <c r="G185"/>
  <c r="G184"/>
  <c r="G159"/>
  <c r="G160"/>
  <c r="M272" i="87" l="1"/>
  <c r="K270" i="86"/>
  <c r="M270" s="1"/>
  <c r="Q273"/>
  <c r="J256"/>
  <c r="T257"/>
  <c r="Q257"/>
  <c r="P257"/>
  <c r="Q174"/>
  <c r="T273"/>
  <c r="J272"/>
  <c r="T272" s="1"/>
  <c r="N271"/>
  <c r="N272"/>
  <c r="Q102"/>
  <c r="S149"/>
  <c r="T102"/>
  <c r="J101"/>
  <c r="T101" s="1"/>
  <c r="T174"/>
  <c r="P174"/>
  <c r="H6"/>
  <c r="O41"/>
  <c r="S41"/>
  <c r="P38"/>
  <c r="Q38"/>
  <c r="T38"/>
  <c r="P228"/>
  <c r="Q228"/>
  <c r="J227"/>
  <c r="Q42"/>
  <c r="P42"/>
  <c r="J41"/>
  <c r="G129"/>
  <c r="P224"/>
  <c r="T224"/>
  <c r="J223"/>
  <c r="Q224"/>
  <c r="P34"/>
  <c r="T34"/>
  <c r="Q34"/>
  <c r="J303"/>
  <c r="P304"/>
  <c r="T304"/>
  <c r="Q304"/>
  <c r="G6"/>
  <c r="S101"/>
  <c r="O101"/>
  <c r="O38"/>
  <c r="S38"/>
  <c r="S227"/>
  <c r="P250"/>
  <c r="T250"/>
  <c r="J249"/>
  <c r="Q250"/>
  <c r="Q173"/>
  <c r="J259" i="84"/>
  <c r="Q259" s="1"/>
  <c r="N259"/>
  <c r="O259"/>
  <c r="S259"/>
  <c r="I85"/>
  <c r="I86"/>
  <c r="I87"/>
  <c r="I88"/>
  <c r="I89"/>
  <c r="I90"/>
  <c r="I91"/>
  <c r="I84"/>
  <c r="I67"/>
  <c r="I68"/>
  <c r="I69"/>
  <c r="I70"/>
  <c r="I71"/>
  <c r="I72"/>
  <c r="I73"/>
  <c r="I66"/>
  <c r="I58"/>
  <c r="I59"/>
  <c r="I60"/>
  <c r="I61"/>
  <c r="I62"/>
  <c r="I63"/>
  <c r="I64"/>
  <c r="I57"/>
  <c r="O270" i="86" l="1"/>
  <c r="J270"/>
  <c r="N270"/>
  <c r="S270"/>
  <c r="N272" i="87"/>
  <c r="J272"/>
  <c r="S272"/>
  <c r="O272"/>
  <c r="Q256" i="86"/>
  <c r="P256"/>
  <c r="T256"/>
  <c r="Q101"/>
  <c r="P101"/>
  <c r="Q272"/>
  <c r="P272"/>
  <c r="J271"/>
  <c r="P271" s="1"/>
  <c r="T271"/>
  <c r="Q227"/>
  <c r="P227"/>
  <c r="P249"/>
  <c r="Q249"/>
  <c r="P223"/>
  <c r="Q223"/>
  <c r="H5"/>
  <c r="P41"/>
  <c r="Q41"/>
  <c r="P303"/>
  <c r="Q303"/>
  <c r="G5"/>
  <c r="P259" i="84"/>
  <c r="J157"/>
  <c r="K6"/>
  <c r="K7"/>
  <c r="K8"/>
  <c r="K9"/>
  <c r="K10"/>
  <c r="K11"/>
  <c r="M11" s="1"/>
  <c r="K12"/>
  <c r="M12" s="1"/>
  <c r="K13"/>
  <c r="K14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24"/>
  <c r="M24" s="1"/>
  <c r="K25"/>
  <c r="M25" s="1"/>
  <c r="K26"/>
  <c r="M26" s="1"/>
  <c r="K27"/>
  <c r="M27" s="1"/>
  <c r="K28"/>
  <c r="M28" s="1"/>
  <c r="K29"/>
  <c r="M29" s="1"/>
  <c r="K30"/>
  <c r="K31"/>
  <c r="M31" s="1"/>
  <c r="K32"/>
  <c r="M32" s="1"/>
  <c r="K33"/>
  <c r="M33" s="1"/>
  <c r="K34"/>
  <c r="K35"/>
  <c r="M35" s="1"/>
  <c r="K36"/>
  <c r="M36" s="1"/>
  <c r="K37"/>
  <c r="M37" s="1"/>
  <c r="K38"/>
  <c r="K39"/>
  <c r="K40"/>
  <c r="M40" s="1"/>
  <c r="S40" s="1"/>
  <c r="K41"/>
  <c r="K42"/>
  <c r="K43"/>
  <c r="M43" s="1"/>
  <c r="J43" s="1"/>
  <c r="P43" s="1"/>
  <c r="K44"/>
  <c r="K45"/>
  <c r="K46"/>
  <c r="K47"/>
  <c r="K48"/>
  <c r="K49"/>
  <c r="K50"/>
  <c r="K51"/>
  <c r="K52"/>
  <c r="K53"/>
  <c r="K54"/>
  <c r="K56"/>
  <c r="K57"/>
  <c r="K58"/>
  <c r="M58" s="1"/>
  <c r="K59"/>
  <c r="M59" s="1"/>
  <c r="K60"/>
  <c r="M60" s="1"/>
  <c r="K61"/>
  <c r="M61" s="1"/>
  <c r="K62"/>
  <c r="M62" s="1"/>
  <c r="K63"/>
  <c r="M63" s="1"/>
  <c r="K64"/>
  <c r="K65"/>
  <c r="K66"/>
  <c r="M66" s="1"/>
  <c r="K67"/>
  <c r="M67" s="1"/>
  <c r="K68"/>
  <c r="M68" s="1"/>
  <c r="K69"/>
  <c r="M69" s="1"/>
  <c r="K70"/>
  <c r="M70" s="1"/>
  <c r="K71"/>
  <c r="M71" s="1"/>
  <c r="K72"/>
  <c r="M72" s="1"/>
  <c r="K73"/>
  <c r="M73" s="1"/>
  <c r="K74"/>
  <c r="K75"/>
  <c r="M75" s="1"/>
  <c r="K76"/>
  <c r="M76" s="1"/>
  <c r="K77"/>
  <c r="M77" s="1"/>
  <c r="K78"/>
  <c r="M78" s="1"/>
  <c r="K79"/>
  <c r="M79" s="1"/>
  <c r="K80"/>
  <c r="M80" s="1"/>
  <c r="K81"/>
  <c r="M81" s="1"/>
  <c r="K82"/>
  <c r="M82" s="1"/>
  <c r="K83"/>
  <c r="K84"/>
  <c r="M84" s="1"/>
  <c r="K85"/>
  <c r="M85" s="1"/>
  <c r="K86"/>
  <c r="M86" s="1"/>
  <c r="K87"/>
  <c r="M87" s="1"/>
  <c r="K88"/>
  <c r="M88" s="1"/>
  <c r="K89"/>
  <c r="M89" s="1"/>
  <c r="K90"/>
  <c r="M90" s="1"/>
  <c r="K91"/>
  <c r="M91" s="1"/>
  <c r="K92"/>
  <c r="K93"/>
  <c r="K94"/>
  <c r="M94" s="1"/>
  <c r="O94" s="1"/>
  <c r="K95"/>
  <c r="M95" s="1"/>
  <c r="N95" s="1"/>
  <c r="K96"/>
  <c r="K97"/>
  <c r="K98"/>
  <c r="M98" s="1"/>
  <c r="K99"/>
  <c r="K100"/>
  <c r="K101"/>
  <c r="K102"/>
  <c r="M102" s="1"/>
  <c r="K103"/>
  <c r="K104"/>
  <c r="M104" s="1"/>
  <c r="K105"/>
  <c r="M105" s="1"/>
  <c r="K106"/>
  <c r="M106" s="1"/>
  <c r="K107"/>
  <c r="M107" s="1"/>
  <c r="K108"/>
  <c r="M108" s="1"/>
  <c r="K109"/>
  <c r="M109" s="1"/>
  <c r="K110"/>
  <c r="M110" s="1"/>
  <c r="K111"/>
  <c r="M111" s="1"/>
  <c r="K112"/>
  <c r="M112" s="1"/>
  <c r="K113"/>
  <c r="M113" s="1"/>
  <c r="K114"/>
  <c r="M114" s="1"/>
  <c r="K115"/>
  <c r="M115" s="1"/>
  <c r="K116"/>
  <c r="M116" s="1"/>
  <c r="K117"/>
  <c r="M117" s="1"/>
  <c r="K118"/>
  <c r="M118" s="1"/>
  <c r="K119"/>
  <c r="K120"/>
  <c r="K121"/>
  <c r="K122"/>
  <c r="M122" s="1"/>
  <c r="K123"/>
  <c r="M123" s="1"/>
  <c r="K124"/>
  <c r="K125"/>
  <c r="M125" s="1"/>
  <c r="K126"/>
  <c r="M126" s="1"/>
  <c r="K127"/>
  <c r="M127" s="1"/>
  <c r="K128"/>
  <c r="M128" s="1"/>
  <c r="K129"/>
  <c r="M129" s="1"/>
  <c r="K130"/>
  <c r="M130" s="1"/>
  <c r="K131"/>
  <c r="M131" s="1"/>
  <c r="K132"/>
  <c r="M132" s="1"/>
  <c r="K133"/>
  <c r="K134"/>
  <c r="M134" s="1"/>
  <c r="K135"/>
  <c r="M135" s="1"/>
  <c r="K136"/>
  <c r="M136" s="1"/>
  <c r="K137"/>
  <c r="M137" s="1"/>
  <c r="K138"/>
  <c r="M138" s="1"/>
  <c r="K139"/>
  <c r="K140"/>
  <c r="K141"/>
  <c r="M141" s="1"/>
  <c r="K142"/>
  <c r="K143"/>
  <c r="K144"/>
  <c r="K145"/>
  <c r="M145" s="1"/>
  <c r="K146"/>
  <c r="M146" s="1"/>
  <c r="K147"/>
  <c r="M147" s="1"/>
  <c r="K148"/>
  <c r="M148" s="1"/>
  <c r="K149"/>
  <c r="M149" s="1"/>
  <c r="K150"/>
  <c r="M150" s="1"/>
  <c r="K151"/>
  <c r="M151" s="1"/>
  <c r="K152"/>
  <c r="M152" s="1"/>
  <c r="K153"/>
  <c r="M153" s="1"/>
  <c r="K154"/>
  <c r="M154" s="1"/>
  <c r="K155"/>
  <c r="M155" s="1"/>
  <c r="K156"/>
  <c r="M156" s="1"/>
  <c r="K157"/>
  <c r="M157" s="1"/>
  <c r="K158"/>
  <c r="M158" s="1"/>
  <c r="K159"/>
  <c r="M159" s="1"/>
  <c r="K160"/>
  <c r="M160" s="1"/>
  <c r="K161"/>
  <c r="M161" s="1"/>
  <c r="K162"/>
  <c r="M162" s="1"/>
  <c r="K163"/>
  <c r="K164"/>
  <c r="K165"/>
  <c r="M165" s="1"/>
  <c r="K166"/>
  <c r="M166" s="1"/>
  <c r="K167"/>
  <c r="M167" s="1"/>
  <c r="K168"/>
  <c r="K169"/>
  <c r="K170"/>
  <c r="K171"/>
  <c r="M171" s="1"/>
  <c r="K172"/>
  <c r="M172" s="1"/>
  <c r="K173"/>
  <c r="M173" s="1"/>
  <c r="K174"/>
  <c r="M174" s="1"/>
  <c r="K175"/>
  <c r="K176"/>
  <c r="M176" s="1"/>
  <c r="K177"/>
  <c r="K178"/>
  <c r="M178" s="1"/>
  <c r="K179"/>
  <c r="M179" s="1"/>
  <c r="K180"/>
  <c r="M180" s="1"/>
  <c r="K181"/>
  <c r="M181" s="1"/>
  <c r="K182"/>
  <c r="M182" s="1"/>
  <c r="K183"/>
  <c r="M183" s="1"/>
  <c r="K184"/>
  <c r="M184" s="1"/>
  <c r="K185"/>
  <c r="M185" s="1"/>
  <c r="K186"/>
  <c r="M186" s="1"/>
  <c r="K187"/>
  <c r="M187" s="1"/>
  <c r="K188"/>
  <c r="K189"/>
  <c r="K190"/>
  <c r="M190" s="1"/>
  <c r="K191"/>
  <c r="M191" s="1"/>
  <c r="K196"/>
  <c r="M196" s="1"/>
  <c r="K197"/>
  <c r="M197" s="1"/>
  <c r="K198"/>
  <c r="M198" s="1"/>
  <c r="K199"/>
  <c r="M199" s="1"/>
  <c r="K200"/>
  <c r="M200" s="1"/>
  <c r="K201"/>
  <c r="M201" s="1"/>
  <c r="K202"/>
  <c r="M202" s="1"/>
  <c r="K203"/>
  <c r="M203" s="1"/>
  <c r="K204"/>
  <c r="M204" s="1"/>
  <c r="K205"/>
  <c r="M205" s="1"/>
  <c r="K206"/>
  <c r="M206" s="1"/>
  <c r="K207"/>
  <c r="M207" s="1"/>
  <c r="K208"/>
  <c r="M208" s="1"/>
  <c r="K209"/>
  <c r="M209" s="1"/>
  <c r="K210"/>
  <c r="M210" s="1"/>
  <c r="K211"/>
  <c r="M211" s="1"/>
  <c r="K212"/>
  <c r="M212" s="1"/>
  <c r="K213"/>
  <c r="K214"/>
  <c r="K215"/>
  <c r="M215" s="1"/>
  <c r="K216"/>
  <c r="K217"/>
  <c r="K218"/>
  <c r="K219"/>
  <c r="M219" s="1"/>
  <c r="K220"/>
  <c r="K221"/>
  <c r="K222"/>
  <c r="M222" s="1"/>
  <c r="K223"/>
  <c r="M223" s="1"/>
  <c r="K224"/>
  <c r="M224" s="1"/>
  <c r="K225"/>
  <c r="M225" s="1"/>
  <c r="K226"/>
  <c r="M226" s="1"/>
  <c r="K227"/>
  <c r="M227" s="1"/>
  <c r="K228"/>
  <c r="M228" s="1"/>
  <c r="K229"/>
  <c r="M229" s="1"/>
  <c r="K230"/>
  <c r="M230" s="1"/>
  <c r="K231"/>
  <c r="M231" s="1"/>
  <c r="K232"/>
  <c r="M232" s="1"/>
  <c r="K233"/>
  <c r="M233" s="1"/>
  <c r="K234"/>
  <c r="K235"/>
  <c r="M235" s="1"/>
  <c r="K236"/>
  <c r="M236" s="1"/>
  <c r="K237"/>
  <c r="M237" s="1"/>
  <c r="K238"/>
  <c r="K239"/>
  <c r="K240"/>
  <c r="M240" s="1"/>
  <c r="K241"/>
  <c r="K242"/>
  <c r="K243"/>
  <c r="K244"/>
  <c r="M244" s="1"/>
  <c r="K245"/>
  <c r="K246"/>
  <c r="M246" s="1"/>
  <c r="K247"/>
  <c r="K249"/>
  <c r="K250"/>
  <c r="K251"/>
  <c r="M251" s="1"/>
  <c r="K252"/>
  <c r="M252" s="1"/>
  <c r="K253"/>
  <c r="M253" s="1"/>
  <c r="K254"/>
  <c r="M254" s="1"/>
  <c r="K255"/>
  <c r="M255" s="1"/>
  <c r="K256"/>
  <c r="M256" s="1"/>
  <c r="K257"/>
  <c r="M257" s="1"/>
  <c r="K258"/>
  <c r="M258" s="1"/>
  <c r="K260"/>
  <c r="K262"/>
  <c r="K264"/>
  <c r="K265"/>
  <c r="K266"/>
  <c r="K267"/>
  <c r="K268"/>
  <c r="M268" s="1"/>
  <c r="J268" s="1"/>
  <c r="T268" s="1"/>
  <c r="K269"/>
  <c r="M269" s="1"/>
  <c r="K270"/>
  <c r="M270" s="1"/>
  <c r="N270" s="1"/>
  <c r="K271"/>
  <c r="M271" s="1"/>
  <c r="K272"/>
  <c r="M272" s="1"/>
  <c r="J272" s="1"/>
  <c r="T272" s="1"/>
  <c r="K273"/>
  <c r="K274"/>
  <c r="M274" s="1"/>
  <c r="K275"/>
  <c r="M275" s="1"/>
  <c r="K276"/>
  <c r="M276" s="1"/>
  <c r="K277"/>
  <c r="M277" s="1"/>
  <c r="K278"/>
  <c r="M278" s="1"/>
  <c r="K279"/>
  <c r="M279" s="1"/>
  <c r="K280"/>
  <c r="M280" s="1"/>
  <c r="K281"/>
  <c r="M281" s="1"/>
  <c r="K282"/>
  <c r="M282" s="1"/>
  <c r="K283"/>
  <c r="M283" s="1"/>
  <c r="K284"/>
  <c r="M284" s="1"/>
  <c r="K285"/>
  <c r="M285" s="1"/>
  <c r="K286"/>
  <c r="M286" s="1"/>
  <c r="K287"/>
  <c r="M287" s="1"/>
  <c r="K288"/>
  <c r="M288" s="1"/>
  <c r="K289"/>
  <c r="M289" s="1"/>
  <c r="K290"/>
  <c r="M290" s="1"/>
  <c r="K291"/>
  <c r="M291" s="1"/>
  <c r="K292"/>
  <c r="K293"/>
  <c r="K294"/>
  <c r="M294" s="1"/>
  <c r="K295"/>
  <c r="M295" s="1"/>
  <c r="K195"/>
  <c r="M195" s="1"/>
  <c r="Q296"/>
  <c r="M296"/>
  <c r="L293"/>
  <c r="I293"/>
  <c r="I292" s="1"/>
  <c r="H293"/>
  <c r="G293"/>
  <c r="L273"/>
  <c r="L265" s="1"/>
  <c r="L264" s="1"/>
  <c r="I273"/>
  <c r="I265" s="1"/>
  <c r="I264" s="1"/>
  <c r="H273"/>
  <c r="H265" s="1"/>
  <c r="G273"/>
  <c r="G265" s="1"/>
  <c r="L266"/>
  <c r="I266"/>
  <c r="H266"/>
  <c r="G266"/>
  <c r="G260"/>
  <c r="L260"/>
  <c r="L248"/>
  <c r="I249"/>
  <c r="I248" s="1"/>
  <c r="H249"/>
  <c r="H248" s="1"/>
  <c r="G249"/>
  <c r="G242"/>
  <c r="M247"/>
  <c r="J247" s="1"/>
  <c r="P247" s="1"/>
  <c r="L245"/>
  <c r="I245"/>
  <c r="H245"/>
  <c r="G245"/>
  <c r="L243"/>
  <c r="I243"/>
  <c r="H243"/>
  <c r="G243"/>
  <c r="M241"/>
  <c r="S241" s="1"/>
  <c r="L239"/>
  <c r="L238" s="1"/>
  <c r="I239"/>
  <c r="H239"/>
  <c r="G239"/>
  <c r="I238"/>
  <c r="H238"/>
  <c r="G238"/>
  <c r="T235"/>
  <c r="Q235"/>
  <c r="N234"/>
  <c r="M234"/>
  <c r="T233"/>
  <c r="Q233"/>
  <c r="L221"/>
  <c r="L220" s="1"/>
  <c r="I221"/>
  <c r="H221"/>
  <c r="H220" s="1"/>
  <c r="G221"/>
  <c r="G220" s="1"/>
  <c r="L218"/>
  <c r="I218"/>
  <c r="I217" s="1"/>
  <c r="H218"/>
  <c r="G218"/>
  <c r="L217"/>
  <c r="H217"/>
  <c r="G217"/>
  <c r="L214"/>
  <c r="I214"/>
  <c r="H214"/>
  <c r="H213" s="1"/>
  <c r="G214"/>
  <c r="L213"/>
  <c r="I213"/>
  <c r="L194"/>
  <c r="L193" s="1"/>
  <c r="I194"/>
  <c r="I193" s="1"/>
  <c r="H194"/>
  <c r="H193" s="1"/>
  <c r="G194"/>
  <c r="G193"/>
  <c r="L189"/>
  <c r="I189"/>
  <c r="I188" s="1"/>
  <c r="H189"/>
  <c r="H188" s="1"/>
  <c r="G189"/>
  <c r="L188"/>
  <c r="G188"/>
  <c r="M177"/>
  <c r="M175"/>
  <c r="L170"/>
  <c r="L169" s="1"/>
  <c r="I170"/>
  <c r="I169" s="1"/>
  <c r="H170"/>
  <c r="H169" s="1"/>
  <c r="G170"/>
  <c r="G169" s="1"/>
  <c r="L164"/>
  <c r="L163" s="1"/>
  <c r="I164"/>
  <c r="I163" s="1"/>
  <c r="H164"/>
  <c r="H163" s="1"/>
  <c r="G164"/>
  <c r="G163" s="1"/>
  <c r="L144"/>
  <c r="L143" s="1"/>
  <c r="I144"/>
  <c r="I143" s="1"/>
  <c r="H144"/>
  <c r="H143" s="1"/>
  <c r="G144"/>
  <c r="G143" s="1"/>
  <c r="Q141"/>
  <c r="Q140"/>
  <c r="L140"/>
  <c r="L139" s="1"/>
  <c r="J140"/>
  <c r="J139" s="1"/>
  <c r="I140"/>
  <c r="I139" s="1"/>
  <c r="H140"/>
  <c r="H139" s="1"/>
  <c r="G140"/>
  <c r="G139" s="1"/>
  <c r="M133"/>
  <c r="N133" s="1"/>
  <c r="M124"/>
  <c r="L121"/>
  <c r="L120" s="1"/>
  <c r="I121"/>
  <c r="I120" s="1"/>
  <c r="H121"/>
  <c r="H120" s="1"/>
  <c r="G121"/>
  <c r="G120" s="1"/>
  <c r="N103"/>
  <c r="M103"/>
  <c r="L101"/>
  <c r="L100" s="1"/>
  <c r="L99" s="1"/>
  <c r="I101"/>
  <c r="I100" s="1"/>
  <c r="I99" s="1"/>
  <c r="H101"/>
  <c r="G101"/>
  <c r="G100"/>
  <c r="G99"/>
  <c r="L97"/>
  <c r="L96" s="1"/>
  <c r="I97"/>
  <c r="I96" s="1"/>
  <c r="H97"/>
  <c r="G97"/>
  <c r="G96" s="1"/>
  <c r="L93"/>
  <c r="I93"/>
  <c r="I92" s="1"/>
  <c r="H93"/>
  <c r="H92" s="1"/>
  <c r="G93"/>
  <c r="G92" s="1"/>
  <c r="L92"/>
  <c r="L83"/>
  <c r="I83"/>
  <c r="H83"/>
  <c r="G83"/>
  <c r="L74"/>
  <c r="I74"/>
  <c r="H74"/>
  <c r="G74"/>
  <c r="L65"/>
  <c r="I65"/>
  <c r="H65"/>
  <c r="G65"/>
  <c r="N64"/>
  <c r="M64"/>
  <c r="M57"/>
  <c r="L56"/>
  <c r="I56"/>
  <c r="H56"/>
  <c r="G56"/>
  <c r="L54"/>
  <c r="I54"/>
  <c r="H54"/>
  <c r="G54"/>
  <c r="L53"/>
  <c r="I53"/>
  <c r="H53"/>
  <c r="G53"/>
  <c r="L52"/>
  <c r="I52"/>
  <c r="H52"/>
  <c r="G52"/>
  <c r="L51"/>
  <c r="I51"/>
  <c r="H51"/>
  <c r="G51"/>
  <c r="L50"/>
  <c r="I50"/>
  <c r="H50"/>
  <c r="G50"/>
  <c r="L49"/>
  <c r="I49"/>
  <c r="H49"/>
  <c r="G49"/>
  <c r="L48"/>
  <c r="I48"/>
  <c r="H48"/>
  <c r="G48"/>
  <c r="L47"/>
  <c r="I47"/>
  <c r="H47"/>
  <c r="G47"/>
  <c r="I42"/>
  <c r="I41" s="1"/>
  <c r="H42"/>
  <c r="G42"/>
  <c r="I39"/>
  <c r="H39"/>
  <c r="G39"/>
  <c r="L38"/>
  <c r="I38"/>
  <c r="H38"/>
  <c r="G38"/>
  <c r="T35"/>
  <c r="Q35"/>
  <c r="L34"/>
  <c r="I34"/>
  <c r="H34"/>
  <c r="G34"/>
  <c r="M30"/>
  <c r="L14"/>
  <c r="L13" s="1"/>
  <c r="I14"/>
  <c r="I13" s="1"/>
  <c r="H14"/>
  <c r="G14"/>
  <c r="G13"/>
  <c r="L10"/>
  <c r="I10"/>
  <c r="H10"/>
  <c r="G10"/>
  <c r="M9"/>
  <c r="L8"/>
  <c r="I8"/>
  <c r="H8"/>
  <c r="G8"/>
  <c r="J9" i="83"/>
  <c r="J162" i="84" l="1"/>
  <c r="P162" s="1"/>
  <c r="K172" i="86"/>
  <c r="M172" s="1"/>
  <c r="P35" i="84"/>
  <c r="O35"/>
  <c r="N61"/>
  <c r="K61" i="86"/>
  <c r="M140" i="84"/>
  <c r="O140" s="1"/>
  <c r="N141"/>
  <c r="N140" s="1"/>
  <c r="N139" s="1"/>
  <c r="J290"/>
  <c r="P290" s="1"/>
  <c r="M303" i="87"/>
  <c r="K301" i="86"/>
  <c r="M301" s="1"/>
  <c r="S104" i="84"/>
  <c r="M113" i="87"/>
  <c r="K113" i="86"/>
  <c r="M113" s="1"/>
  <c r="J104" i="84"/>
  <c r="J274"/>
  <c r="M287" i="87"/>
  <c r="K285" i="86"/>
  <c r="M285" s="1"/>
  <c r="J275" i="84"/>
  <c r="Q275" s="1"/>
  <c r="M288" i="87"/>
  <c r="K286" i="86"/>
  <c r="M286" s="1"/>
  <c r="O275" i="84"/>
  <c r="N275"/>
  <c r="S60"/>
  <c r="K60" i="86"/>
  <c r="O60" i="84"/>
  <c r="J81"/>
  <c r="M81" i="87"/>
  <c r="K81" i="86"/>
  <c r="M81" s="1"/>
  <c r="N81" i="84"/>
  <c r="J24"/>
  <c r="T24" s="1"/>
  <c r="M24" i="87"/>
  <c r="J24" s="1"/>
  <c r="K24" i="86"/>
  <c r="M24" s="1"/>
  <c r="S161" i="84"/>
  <c r="K171" i="86"/>
  <c r="M171" s="1"/>
  <c r="O82" i="84"/>
  <c r="K82" i="86"/>
  <c r="M82" s="1"/>
  <c r="J84" i="84"/>
  <c r="P84" s="1"/>
  <c r="M84" i="87"/>
  <c r="K84" i="86"/>
  <c r="M84" s="1"/>
  <c r="O84" i="84"/>
  <c r="O83" s="1"/>
  <c r="M185" i="87"/>
  <c r="K184" i="86"/>
  <c r="M184" s="1"/>
  <c r="J174" i="84"/>
  <c r="Q174" s="1"/>
  <c r="J57"/>
  <c r="Q57" s="1"/>
  <c r="K57" i="86"/>
  <c r="M301" i="87"/>
  <c r="K299" i="86"/>
  <c r="M299" s="1"/>
  <c r="P270"/>
  <c r="Q270"/>
  <c r="N226" i="84"/>
  <c r="K236" i="86"/>
  <c r="M236" s="1"/>
  <c r="J226" i="84"/>
  <c r="M217" i="87"/>
  <c r="K216" i="86"/>
  <c r="M216" s="1"/>
  <c r="M111" i="87"/>
  <c r="K111" i="86"/>
  <c r="M111" s="1"/>
  <c r="J102" i="84"/>
  <c r="M22" i="87"/>
  <c r="J22" s="1"/>
  <c r="K22" i="86"/>
  <c r="M22" s="1"/>
  <c r="M304" i="87"/>
  <c r="K302" i="86"/>
  <c r="M302" s="1"/>
  <c r="M238" i="87"/>
  <c r="K237" i="86"/>
  <c r="M237" s="1"/>
  <c r="J227" i="84"/>
  <c r="M194" i="87"/>
  <c r="K193" i="86"/>
  <c r="M193" s="1"/>
  <c r="J123" i="84"/>
  <c r="Q123" s="1"/>
  <c r="M133" i="87"/>
  <c r="K133" i="86"/>
  <c r="M133" s="1"/>
  <c r="K63"/>
  <c r="M23" i="87"/>
  <c r="J23" s="1"/>
  <c r="K23" i="86"/>
  <c r="M23" s="1"/>
  <c r="M239" i="87"/>
  <c r="K238" i="86"/>
  <c r="M238" s="1"/>
  <c r="J228" i="84"/>
  <c r="M219" i="87"/>
  <c r="K218" i="86"/>
  <c r="M218" s="1"/>
  <c r="S184" i="84"/>
  <c r="M195" i="87"/>
  <c r="K194" i="86"/>
  <c r="M194" s="1"/>
  <c r="K248" i="84"/>
  <c r="M235" i="87"/>
  <c r="K234" i="86"/>
  <c r="M234" s="1"/>
  <c r="J224" i="84"/>
  <c r="T224" s="1"/>
  <c r="M80" i="87"/>
  <c r="K80" i="86"/>
  <c r="M80" s="1"/>
  <c r="O103" i="84"/>
  <c r="M112" i="87"/>
  <c r="K112" i="86"/>
  <c r="M112" s="1"/>
  <c r="J103" i="84"/>
  <c r="M216" i="87"/>
  <c r="K215" i="86"/>
  <c r="M215" s="1"/>
  <c r="N21" i="84"/>
  <c r="M21" i="87"/>
  <c r="J21" s="1"/>
  <c r="K21" i="86"/>
  <c r="M21" s="1"/>
  <c r="K62"/>
  <c r="M218" i="87"/>
  <c r="K217" i="86"/>
  <c r="M217" s="1"/>
  <c r="N250" i="84"/>
  <c r="M250"/>
  <c r="M240" i="87"/>
  <c r="K239" i="86"/>
  <c r="M239" s="1"/>
  <c r="J229" i="84"/>
  <c r="M220" i="87"/>
  <c r="K219" i="86"/>
  <c r="M219" s="1"/>
  <c r="M196" i="87"/>
  <c r="K195" i="86"/>
  <c r="M195" s="1"/>
  <c r="J145" i="84"/>
  <c r="T145" s="1"/>
  <c r="K155" i="86"/>
  <c r="M155" s="1"/>
  <c r="M135" i="87"/>
  <c r="K135" i="86"/>
  <c r="M135" s="1"/>
  <c r="M114" i="87"/>
  <c r="K114" i="86"/>
  <c r="M114" s="1"/>
  <c r="J105" i="84"/>
  <c r="M85" i="87"/>
  <c r="K85" i="86"/>
  <c r="M85" s="1"/>
  <c r="J25" i="84"/>
  <c r="P25" s="1"/>
  <c r="M25" i="87"/>
  <c r="K25" i="86"/>
  <c r="M25" s="1"/>
  <c r="P272" i="87"/>
  <c r="Q272"/>
  <c r="M188"/>
  <c r="K187" i="86"/>
  <c r="M187" s="1"/>
  <c r="J177" i="84"/>
  <c r="P177" s="1"/>
  <c r="J251"/>
  <c r="P251" s="1"/>
  <c r="M264" i="87"/>
  <c r="K262" i="86"/>
  <c r="M262" s="1"/>
  <c r="M241" i="87"/>
  <c r="K240" i="86"/>
  <c r="M240" s="1"/>
  <c r="M221" i="87"/>
  <c r="K220" i="86"/>
  <c r="M220" s="1"/>
  <c r="M197" i="87"/>
  <c r="K196" i="86"/>
  <c r="M196" s="1"/>
  <c r="J146" i="84"/>
  <c r="Q146" s="1"/>
  <c r="K156" i="86"/>
  <c r="M156" s="1"/>
  <c r="M136" i="87"/>
  <c r="K136" i="86"/>
  <c r="M136" s="1"/>
  <c r="M115" i="87"/>
  <c r="K115" i="86"/>
  <c r="M115" s="1"/>
  <c r="J106" i="84"/>
  <c r="M86" i="87"/>
  <c r="K86" i="86"/>
  <c r="M86" s="1"/>
  <c r="M66" i="87"/>
  <c r="K66" i="86"/>
  <c r="M66" s="1"/>
  <c r="M26" i="87"/>
  <c r="K26" i="86"/>
  <c r="M26" s="1"/>
  <c r="K170"/>
  <c r="M170" s="1"/>
  <c r="M236" i="87"/>
  <c r="K235" i="86"/>
  <c r="M235" s="1"/>
  <c r="J225" i="84"/>
  <c r="M192" i="87"/>
  <c r="K191" i="86"/>
  <c r="M191" s="1"/>
  <c r="M132" i="87"/>
  <c r="K132" i="86"/>
  <c r="M132" s="1"/>
  <c r="J122" i="84"/>
  <c r="P9"/>
  <c r="M9" i="87"/>
  <c r="K9" i="86"/>
  <c r="M9" s="1"/>
  <c r="J9" i="84"/>
  <c r="Q9" s="1"/>
  <c r="M186" i="87"/>
  <c r="K185" i="86"/>
  <c r="M185" s="1"/>
  <c r="J175" i="84"/>
  <c r="P175" s="1"/>
  <c r="M265" i="87"/>
  <c r="K263" i="86"/>
  <c r="M263" s="1"/>
  <c r="J252" i="84"/>
  <c r="M242" i="87"/>
  <c r="K241" i="86"/>
  <c r="M241" s="1"/>
  <c r="M222" i="87"/>
  <c r="K221" i="86"/>
  <c r="M221" s="1"/>
  <c r="M198" i="87"/>
  <c r="K197" i="86"/>
  <c r="M197" s="1"/>
  <c r="J147" i="84"/>
  <c r="T147" s="1"/>
  <c r="K157" i="86"/>
  <c r="M157" s="1"/>
  <c r="M137" i="87"/>
  <c r="K137" i="86"/>
  <c r="M137" s="1"/>
  <c r="M116" i="87"/>
  <c r="K116" i="86"/>
  <c r="M116" s="1"/>
  <c r="J107" i="84"/>
  <c r="M87" i="87"/>
  <c r="K87" i="86"/>
  <c r="M87" s="1"/>
  <c r="M67" i="87"/>
  <c r="K67" i="86"/>
  <c r="M67" s="1"/>
  <c r="K205"/>
  <c r="J195" i="84"/>
  <c r="T195" s="1"/>
  <c r="M289" i="87"/>
  <c r="K287" i="86"/>
  <c r="M287" s="1"/>
  <c r="M266" i="87"/>
  <c r="K264" i="86"/>
  <c r="M264" s="1"/>
  <c r="J253" i="84"/>
  <c r="J232"/>
  <c r="Q232" s="1"/>
  <c r="M243" i="87"/>
  <c r="K242" i="86"/>
  <c r="M242" s="1"/>
  <c r="M223" i="87"/>
  <c r="K222" i="86"/>
  <c r="M222" s="1"/>
  <c r="J148" i="84"/>
  <c r="K158" i="86"/>
  <c r="M158" s="1"/>
  <c r="M138" i="87"/>
  <c r="K138" i="86"/>
  <c r="M138" s="1"/>
  <c r="M117" i="87"/>
  <c r="K117" i="86"/>
  <c r="M117" s="1"/>
  <c r="J108" i="84"/>
  <c r="M88" i="87"/>
  <c r="K88" i="86"/>
  <c r="M88" s="1"/>
  <c r="M68" i="87"/>
  <c r="K68" i="86"/>
  <c r="M68" s="1"/>
  <c r="M28" i="87"/>
  <c r="K28" i="86"/>
  <c r="M28" s="1"/>
  <c r="M290" i="87"/>
  <c r="K288" i="86"/>
  <c r="M288" s="1"/>
  <c r="M267" i="87"/>
  <c r="K265" i="86"/>
  <c r="M265" s="1"/>
  <c r="J254" i="84"/>
  <c r="M244" i="87"/>
  <c r="K243" i="86"/>
  <c r="M243" s="1"/>
  <c r="K159"/>
  <c r="M159" s="1"/>
  <c r="M139" i="87"/>
  <c r="K139" i="86"/>
  <c r="M139" s="1"/>
  <c r="M118" i="87"/>
  <c r="K118" i="86"/>
  <c r="M118" s="1"/>
  <c r="J109" i="84"/>
  <c r="M89" i="87"/>
  <c r="K89" i="86"/>
  <c r="M89" s="1"/>
  <c r="J69" i="84"/>
  <c r="P69" s="1"/>
  <c r="M69" i="87"/>
  <c r="K69" i="86"/>
  <c r="M69" s="1"/>
  <c r="N29" i="84"/>
  <c r="M29" i="87"/>
  <c r="K29" i="86"/>
  <c r="M29" s="1"/>
  <c r="Q271"/>
  <c r="M215" i="87"/>
  <c r="J215" s="1"/>
  <c r="K214" i="86"/>
  <c r="M214" s="1"/>
  <c r="M302" i="87"/>
  <c r="K300" i="86"/>
  <c r="M300" s="1"/>
  <c r="J182" i="84"/>
  <c r="M193" i="87"/>
  <c r="K192" i="86"/>
  <c r="M192" s="1"/>
  <c r="M27" i="87"/>
  <c r="K27" i="86"/>
  <c r="M27" s="1"/>
  <c r="M291" i="87"/>
  <c r="K289" i="86"/>
  <c r="M289" s="1"/>
  <c r="M268" i="87"/>
  <c r="K266" i="86"/>
  <c r="M266" s="1"/>
  <c r="J255" i="84"/>
  <c r="J150"/>
  <c r="Q150" s="1"/>
  <c r="K160" i="86"/>
  <c r="M160" s="1"/>
  <c r="M140" i="87"/>
  <c r="K140" i="86"/>
  <c r="M140" s="1"/>
  <c r="M119" i="87"/>
  <c r="K119" i="86"/>
  <c r="M119" s="1"/>
  <c r="M90" i="87"/>
  <c r="K90" i="86"/>
  <c r="M90" s="1"/>
  <c r="M70" i="87"/>
  <c r="K70" i="86"/>
  <c r="M70" s="1"/>
  <c r="J279" i="84"/>
  <c r="M292" i="87"/>
  <c r="K290" i="86"/>
  <c r="M290" s="1"/>
  <c r="M269" i="87"/>
  <c r="K267" i="86"/>
  <c r="M267" s="1"/>
  <c r="M246" i="87"/>
  <c r="K245" i="86"/>
  <c r="M245" s="1"/>
  <c r="K202" i="87"/>
  <c r="M202" s="1"/>
  <c r="K201" i="86"/>
  <c r="M201" s="1"/>
  <c r="S171" i="84"/>
  <c r="M182" i="87"/>
  <c r="K181" i="86"/>
  <c r="M181" s="1"/>
  <c r="K161"/>
  <c r="M161" s="1"/>
  <c r="M141" i="87"/>
  <c r="K141" i="86"/>
  <c r="M141" s="1"/>
  <c r="M120" i="87"/>
  <c r="K120" i="86"/>
  <c r="M120" s="1"/>
  <c r="M91" i="87"/>
  <c r="K91" i="86"/>
  <c r="M91" s="1"/>
  <c r="M71" i="87"/>
  <c r="K71" i="86"/>
  <c r="M71" s="1"/>
  <c r="M31" i="87"/>
  <c r="K31" i="86"/>
  <c r="M31" s="1"/>
  <c r="P11" i="84"/>
  <c r="M11" i="87"/>
  <c r="K11" i="86"/>
  <c r="M11" s="1"/>
  <c r="J280" i="84"/>
  <c r="Q280" s="1"/>
  <c r="M293" i="87"/>
  <c r="K291" i="86"/>
  <c r="M291" s="1"/>
  <c r="M270" i="87"/>
  <c r="K268" i="86"/>
  <c r="M268" s="1"/>
  <c r="J257" i="84"/>
  <c r="Q257" s="1"/>
  <c r="M247" i="87"/>
  <c r="K246" i="86"/>
  <c r="M246" s="1"/>
  <c r="J196" i="84"/>
  <c r="P196" s="1"/>
  <c r="M207" i="87"/>
  <c r="K206" i="86"/>
  <c r="M206" s="1"/>
  <c r="M183" i="87"/>
  <c r="K182" i="86"/>
  <c r="M182" s="1"/>
  <c r="J172" i="84"/>
  <c r="P172" s="1"/>
  <c r="J152"/>
  <c r="Q152" s="1"/>
  <c r="K162" i="86"/>
  <c r="M162" s="1"/>
  <c r="M142" i="87"/>
  <c r="K142" i="86"/>
  <c r="M142" s="1"/>
  <c r="M121" i="87"/>
  <c r="K121" i="86"/>
  <c r="M121" s="1"/>
  <c r="M72" i="87"/>
  <c r="K72" i="86"/>
  <c r="M72" s="1"/>
  <c r="M32" i="87"/>
  <c r="K32" i="86"/>
  <c r="M32" s="1"/>
  <c r="M12" i="87"/>
  <c r="K12" i="86"/>
  <c r="M12" s="1"/>
  <c r="J12" i="84"/>
  <c r="J244"/>
  <c r="K255" i="86"/>
  <c r="M271" i="87"/>
  <c r="K269" i="86"/>
  <c r="M269" s="1"/>
  <c r="M208" i="87"/>
  <c r="K207" i="86"/>
  <c r="M207" s="1"/>
  <c r="K163"/>
  <c r="M163" s="1"/>
  <c r="M33" i="87"/>
  <c r="K33" i="86"/>
  <c r="M33" s="1"/>
  <c r="S124" i="84"/>
  <c r="M134" i="87"/>
  <c r="K134" i="86"/>
  <c r="M134" s="1"/>
  <c r="S198" i="84"/>
  <c r="M209" i="87"/>
  <c r="K208" i="86"/>
  <c r="M208" s="1"/>
  <c r="M145" i="87"/>
  <c r="K145" i="86"/>
  <c r="M145" s="1"/>
  <c r="N30" i="84"/>
  <c r="M30" i="87"/>
  <c r="K30" i="86"/>
  <c r="M30" s="1"/>
  <c r="S156" i="84"/>
  <c r="K166" i="86"/>
  <c r="M166" s="1"/>
  <c r="J20" i="84"/>
  <c r="M20" i="87"/>
  <c r="J20" s="1"/>
  <c r="K20" i="86"/>
  <c r="M20" s="1"/>
  <c r="M250" i="87"/>
  <c r="K248" i="86"/>
  <c r="M248" s="1"/>
  <c r="M184" i="87"/>
  <c r="K183" i="86"/>
  <c r="M183" s="1"/>
  <c r="J173" i="84"/>
  <c r="P173" s="1"/>
  <c r="J73"/>
  <c r="Q73" s="1"/>
  <c r="M73" i="87"/>
  <c r="K73" i="86"/>
  <c r="M73" s="1"/>
  <c r="M295" i="87"/>
  <c r="K293" i="86"/>
  <c r="M293" s="1"/>
  <c r="K164"/>
  <c r="M164" s="1"/>
  <c r="M123" i="87"/>
  <c r="K123" i="86"/>
  <c r="M123" s="1"/>
  <c r="O283" i="84"/>
  <c r="M296" i="87"/>
  <c r="K294" i="86"/>
  <c r="M294" s="1"/>
  <c r="M297" i="87"/>
  <c r="K295" i="86"/>
  <c r="M295" s="1"/>
  <c r="M211" i="87"/>
  <c r="K210" i="86"/>
  <c r="M210" s="1"/>
  <c r="M146" i="87"/>
  <c r="K146" i="86"/>
  <c r="M146" s="1"/>
  <c r="M212" i="87"/>
  <c r="K211" i="86"/>
  <c r="M211" s="1"/>
  <c r="M147" i="87"/>
  <c r="K147" i="86"/>
  <c r="M147" s="1"/>
  <c r="M77" i="87"/>
  <c r="K77" i="86"/>
  <c r="M77" s="1"/>
  <c r="N286" i="84"/>
  <c r="M299" i="87"/>
  <c r="K297" i="86"/>
  <c r="M297" s="1"/>
  <c r="M233" i="87"/>
  <c r="K232" i="86"/>
  <c r="J222" i="84"/>
  <c r="J202"/>
  <c r="P202" s="1"/>
  <c r="M213" i="87"/>
  <c r="K212" i="86"/>
  <c r="M212" s="1"/>
  <c r="N178" i="84"/>
  <c r="M189" i="87"/>
  <c r="K188" i="86"/>
  <c r="M188" s="1"/>
  <c r="J178" i="84"/>
  <c r="S158"/>
  <c r="K168" i="86"/>
  <c r="M168" s="1"/>
  <c r="M148" i="87"/>
  <c r="J148" s="1"/>
  <c r="K148" i="86"/>
  <c r="M148" s="1"/>
  <c r="M128" i="87"/>
  <c r="K128" i="86"/>
  <c r="M128" s="1"/>
  <c r="M107" i="87"/>
  <c r="K107" i="86"/>
  <c r="M107" s="1"/>
  <c r="J78" i="84"/>
  <c r="P78" s="1"/>
  <c r="M78" i="87"/>
  <c r="K78" i="86"/>
  <c r="M78" s="1"/>
  <c r="K58"/>
  <c r="N18" i="84"/>
  <c r="M18" i="87"/>
  <c r="J18" s="1"/>
  <c r="K18" i="86"/>
  <c r="M18" s="1"/>
  <c r="J180" i="84"/>
  <c r="Q180" s="1"/>
  <c r="M191" i="87"/>
  <c r="K190" i="86"/>
  <c r="M190" s="1"/>
  <c r="S133" i="84"/>
  <c r="M143" i="87"/>
  <c r="K143" i="86"/>
  <c r="M143" s="1"/>
  <c r="M294" i="87"/>
  <c r="K292" i="86"/>
  <c r="M292" s="1"/>
  <c r="J113" i="84"/>
  <c r="Q113" s="1"/>
  <c r="M122" i="87"/>
  <c r="K122" i="86"/>
  <c r="M122" s="1"/>
  <c r="P134" i="84"/>
  <c r="M144" i="87"/>
  <c r="K144" i="86"/>
  <c r="M144" s="1"/>
  <c r="S64" i="84"/>
  <c r="M64" i="87"/>
  <c r="K64" i="86"/>
  <c r="O234" i="84"/>
  <c r="M245" i="87"/>
  <c r="K244" i="86"/>
  <c r="M244" s="1"/>
  <c r="M262" i="84"/>
  <c r="M261" s="1"/>
  <c r="S261" s="1"/>
  <c r="K261"/>
  <c r="M210" i="87"/>
  <c r="K209" i="86"/>
  <c r="M209" s="1"/>
  <c r="K165"/>
  <c r="M165" s="1"/>
  <c r="M124" i="87"/>
  <c r="K124" i="86"/>
  <c r="M124" s="1"/>
  <c r="J75" i="84"/>
  <c r="P75" s="1"/>
  <c r="M75" i="87"/>
  <c r="K75" i="86"/>
  <c r="M75" s="1"/>
  <c r="M15" i="87"/>
  <c r="K15" i="86"/>
  <c r="M15" s="1"/>
  <c r="M187" i="87"/>
  <c r="K186" i="86"/>
  <c r="M186" s="1"/>
  <c r="J176" i="84"/>
  <c r="M125" i="87"/>
  <c r="K125" i="86"/>
  <c r="M125" s="1"/>
  <c r="M76" i="87"/>
  <c r="K76" i="86"/>
  <c r="M76" s="1"/>
  <c r="S16" i="84"/>
  <c r="M16" i="87"/>
  <c r="J16" s="1"/>
  <c r="K16" i="86"/>
  <c r="M16" s="1"/>
  <c r="M298" i="87"/>
  <c r="K296" i="86"/>
  <c r="M296" s="1"/>
  <c r="K167"/>
  <c r="M167" s="1"/>
  <c r="M126" i="87"/>
  <c r="K126" i="86"/>
  <c r="M126" s="1"/>
  <c r="M17" i="87"/>
  <c r="J17" s="1"/>
  <c r="K17" i="86"/>
  <c r="M17" s="1"/>
  <c r="M300" i="87"/>
  <c r="K298" i="86"/>
  <c r="M298" s="1"/>
  <c r="N223" i="84"/>
  <c r="M234" i="87"/>
  <c r="K233" i="86"/>
  <c r="M233" s="1"/>
  <c r="J223" i="84"/>
  <c r="Q223" s="1"/>
  <c r="S203"/>
  <c r="M214" i="87"/>
  <c r="K213" i="86"/>
  <c r="M213" s="1"/>
  <c r="M190" i="87"/>
  <c r="K189" i="86"/>
  <c r="M189" s="1"/>
  <c r="K169"/>
  <c r="M169" s="1"/>
  <c r="M79" i="87"/>
  <c r="K79" i="86"/>
  <c r="M79" s="1"/>
  <c r="N59" i="84"/>
  <c r="K59" i="86"/>
  <c r="J19" i="84"/>
  <c r="M19" i="87"/>
  <c r="J19" s="1"/>
  <c r="K19" i="86"/>
  <c r="M19" s="1"/>
  <c r="N57" i="84"/>
  <c r="N256"/>
  <c r="J256"/>
  <c r="Q256" s="1"/>
  <c r="L168"/>
  <c r="S30"/>
  <c r="T232"/>
  <c r="S66"/>
  <c r="N66"/>
  <c r="S252"/>
  <c r="S28"/>
  <c r="N28"/>
  <c r="O28"/>
  <c r="N149"/>
  <c r="O149"/>
  <c r="J149"/>
  <c r="T149" s="1"/>
  <c r="S228"/>
  <c r="N228"/>
  <c r="O228"/>
  <c r="S209"/>
  <c r="N209"/>
  <c r="O209"/>
  <c r="O251"/>
  <c r="P210"/>
  <c r="N210"/>
  <c r="S210"/>
  <c r="J294"/>
  <c r="N294"/>
  <c r="S294"/>
  <c r="N211"/>
  <c r="S211"/>
  <c r="S295"/>
  <c r="N295"/>
  <c r="N232"/>
  <c r="O232"/>
  <c r="S232"/>
  <c r="S276"/>
  <c r="N276"/>
  <c r="O254"/>
  <c r="S72"/>
  <c r="O72"/>
  <c r="O222"/>
  <c r="N222"/>
  <c r="N160"/>
  <c r="O160"/>
  <c r="S80"/>
  <c r="N80"/>
  <c r="S122"/>
  <c r="O122"/>
  <c r="J23"/>
  <c r="P23" s="1"/>
  <c r="N23"/>
  <c r="S274"/>
  <c r="O274"/>
  <c r="N274"/>
  <c r="S84"/>
  <c r="N104"/>
  <c r="M214"/>
  <c r="M213" s="1"/>
  <c r="S215"/>
  <c r="O288"/>
  <c r="N288"/>
  <c r="S288"/>
  <c r="N206"/>
  <c r="O206"/>
  <c r="S206"/>
  <c r="O271"/>
  <c r="S271"/>
  <c r="N271"/>
  <c r="J277"/>
  <c r="P277" s="1"/>
  <c r="N277"/>
  <c r="J131"/>
  <c r="S131"/>
  <c r="J71"/>
  <c r="P71" s="1"/>
  <c r="N71"/>
  <c r="O181"/>
  <c r="N181"/>
  <c r="S246"/>
  <c r="O246"/>
  <c r="O245" s="1"/>
  <c r="P182"/>
  <c r="Q182"/>
  <c r="P102"/>
  <c r="N102"/>
  <c r="J62"/>
  <c r="S62"/>
  <c r="S227"/>
  <c r="O227"/>
  <c r="O207"/>
  <c r="N207"/>
  <c r="J63"/>
  <c r="Q63" s="1"/>
  <c r="N63"/>
  <c r="O230"/>
  <c r="S230"/>
  <c r="N230"/>
  <c r="S235"/>
  <c r="P235"/>
  <c r="O235"/>
  <c r="S151"/>
  <c r="J151"/>
  <c r="O111"/>
  <c r="N111"/>
  <c r="S91"/>
  <c r="N91"/>
  <c r="N172"/>
  <c r="S112"/>
  <c r="N112"/>
  <c r="O112"/>
  <c r="S32"/>
  <c r="N32"/>
  <c r="O32"/>
  <c r="O173"/>
  <c r="S173"/>
  <c r="N173"/>
  <c r="S33"/>
  <c r="O33"/>
  <c r="N33"/>
  <c r="P154"/>
  <c r="J154"/>
  <c r="S154"/>
  <c r="O155"/>
  <c r="N155"/>
  <c r="O135"/>
  <c r="N135"/>
  <c r="S135"/>
  <c r="S115"/>
  <c r="N115"/>
  <c r="O115"/>
  <c r="S15"/>
  <c r="N15"/>
  <c r="O15"/>
  <c r="P136"/>
  <c r="S136"/>
  <c r="S117"/>
  <c r="N117"/>
  <c r="J77"/>
  <c r="P77" s="1"/>
  <c r="O77"/>
  <c r="S77"/>
  <c r="N255"/>
  <c r="O255"/>
  <c r="S255"/>
  <c r="N60"/>
  <c r="N82"/>
  <c r="P141"/>
  <c r="O211"/>
  <c r="O241"/>
  <c r="N251"/>
  <c r="O104"/>
  <c r="O210"/>
  <c r="O184"/>
  <c r="O64"/>
  <c r="N184"/>
  <c r="S290"/>
  <c r="J61"/>
  <c r="P61" s="1"/>
  <c r="S69"/>
  <c r="N241"/>
  <c r="N84"/>
  <c r="J156"/>
  <c r="K194"/>
  <c r="K193" s="1"/>
  <c r="K192" s="1"/>
  <c r="K5" s="1"/>
  <c r="S35"/>
  <c r="S202"/>
  <c r="N254"/>
  <c r="O69"/>
  <c r="S23"/>
  <c r="O202"/>
  <c r="S234"/>
  <c r="S270"/>
  <c r="O23"/>
  <c r="O133"/>
  <c r="N202"/>
  <c r="N122"/>
  <c r="I192"/>
  <c r="O215"/>
  <c r="L192"/>
  <c r="Q139"/>
  <c r="H119"/>
  <c r="L119"/>
  <c r="I119"/>
  <c r="H142"/>
  <c r="I168"/>
  <c r="N174"/>
  <c r="N12"/>
  <c r="O12"/>
  <c r="I242"/>
  <c r="H242"/>
  <c r="Q145"/>
  <c r="H168"/>
  <c r="N24"/>
  <c r="I7"/>
  <c r="H7"/>
  <c r="M249"/>
  <c r="M248" s="1"/>
  <c r="M221"/>
  <c r="S221" s="1"/>
  <c r="O180"/>
  <c r="N180"/>
  <c r="O171"/>
  <c r="N171"/>
  <c r="S182"/>
  <c r="L142"/>
  <c r="O161"/>
  <c r="N161"/>
  <c r="O124"/>
  <c r="N124"/>
  <c r="S114"/>
  <c r="O114"/>
  <c r="N114"/>
  <c r="S12"/>
  <c r="S20"/>
  <c r="O20"/>
  <c r="N20"/>
  <c r="N9"/>
  <c r="N8" s="1"/>
  <c r="T116"/>
  <c r="O116"/>
  <c r="J137"/>
  <c r="T137" s="1"/>
  <c r="N137"/>
  <c r="S17"/>
  <c r="J17"/>
  <c r="N17"/>
  <c r="O17"/>
  <c r="S138"/>
  <c r="T138"/>
  <c r="O138"/>
  <c r="N138"/>
  <c r="J118"/>
  <c r="N118"/>
  <c r="O118"/>
  <c r="S118"/>
  <c r="J58"/>
  <c r="Q58" s="1"/>
  <c r="O58"/>
  <c r="T159"/>
  <c r="S159"/>
  <c r="O79"/>
  <c r="N79"/>
  <c r="T19"/>
  <c r="N19"/>
  <c r="J22"/>
  <c r="N22"/>
  <c r="O22"/>
  <c r="S22"/>
  <c r="T114"/>
  <c r="P114"/>
  <c r="Q114"/>
  <c r="P185"/>
  <c r="T185"/>
  <c r="S165"/>
  <c r="N165"/>
  <c r="J165"/>
  <c r="N145"/>
  <c r="O145"/>
  <c r="S145"/>
  <c r="J125"/>
  <c r="Q125" s="1"/>
  <c r="O125"/>
  <c r="S125"/>
  <c r="S105"/>
  <c r="S85"/>
  <c r="J85"/>
  <c r="P85" s="1"/>
  <c r="J166"/>
  <c r="N166"/>
  <c r="S166"/>
  <c r="S106"/>
  <c r="O106"/>
  <c r="N106"/>
  <c r="S107"/>
  <c r="O107"/>
  <c r="J67"/>
  <c r="P67" s="1"/>
  <c r="S67"/>
  <c r="S148"/>
  <c r="N148"/>
  <c r="O148"/>
  <c r="N108"/>
  <c r="O108"/>
  <c r="S108"/>
  <c r="J68"/>
  <c r="P68" s="1"/>
  <c r="N68"/>
  <c r="S109"/>
  <c r="N109"/>
  <c r="O109"/>
  <c r="J89"/>
  <c r="P89" s="1"/>
  <c r="N89"/>
  <c r="O89"/>
  <c r="S89"/>
  <c r="J190"/>
  <c r="J189" s="1"/>
  <c r="N190"/>
  <c r="S190"/>
  <c r="O190"/>
  <c r="M189"/>
  <c r="T130"/>
  <c r="N130"/>
  <c r="O130"/>
  <c r="S130"/>
  <c r="J90"/>
  <c r="Q90" s="1"/>
  <c r="N90"/>
  <c r="O90"/>
  <c r="S90"/>
  <c r="N191"/>
  <c r="O191"/>
  <c r="S191"/>
  <c r="J132"/>
  <c r="Q132" s="1"/>
  <c r="N132"/>
  <c r="O132"/>
  <c r="S132"/>
  <c r="P135"/>
  <c r="Q135"/>
  <c r="T135"/>
  <c r="O176"/>
  <c r="N176"/>
  <c r="Q176"/>
  <c r="S176"/>
  <c r="N76"/>
  <c r="J76"/>
  <c r="P76" s="1"/>
  <c r="S76"/>
  <c r="S36"/>
  <c r="N36"/>
  <c r="O36"/>
  <c r="J36"/>
  <c r="T36" s="1"/>
  <c r="N157"/>
  <c r="O157"/>
  <c r="S157"/>
  <c r="J37"/>
  <c r="N37"/>
  <c r="O37"/>
  <c r="S37"/>
  <c r="M97"/>
  <c r="S97" s="1"/>
  <c r="N98"/>
  <c r="N97" s="1"/>
  <c r="N96" s="1"/>
  <c r="O98"/>
  <c r="S179"/>
  <c r="J179"/>
  <c r="T179" s="1"/>
  <c r="N179"/>
  <c r="Q75"/>
  <c r="J186"/>
  <c r="S186"/>
  <c r="N186"/>
  <c r="O186"/>
  <c r="S146"/>
  <c r="N146"/>
  <c r="O146"/>
  <c r="J126"/>
  <c r="T126" s="1"/>
  <c r="S126"/>
  <c r="J86"/>
  <c r="N86"/>
  <c r="O86"/>
  <c r="S86"/>
  <c r="J26"/>
  <c r="Q26" s="1"/>
  <c r="O26"/>
  <c r="S26"/>
  <c r="N26"/>
  <c r="J187"/>
  <c r="S187"/>
  <c r="O167"/>
  <c r="N167"/>
  <c r="J127"/>
  <c r="Q127" s="1"/>
  <c r="O127"/>
  <c r="S87"/>
  <c r="N87"/>
  <c r="O87"/>
  <c r="J87"/>
  <c r="J27"/>
  <c r="N27"/>
  <c r="O27"/>
  <c r="S27"/>
  <c r="P160"/>
  <c r="Q160"/>
  <c r="T160"/>
  <c r="S128"/>
  <c r="N128"/>
  <c r="S88"/>
  <c r="J88"/>
  <c r="Q88" s="1"/>
  <c r="N88"/>
  <c r="J129"/>
  <c r="O129"/>
  <c r="N129"/>
  <c r="S129"/>
  <c r="O150"/>
  <c r="S150"/>
  <c r="N150"/>
  <c r="T110"/>
  <c r="N110"/>
  <c r="O110"/>
  <c r="S110"/>
  <c r="J70"/>
  <c r="P70" s="1"/>
  <c r="N70"/>
  <c r="O70"/>
  <c r="S70"/>
  <c r="N31"/>
  <c r="O31"/>
  <c r="S31"/>
  <c r="P81"/>
  <c r="Q81"/>
  <c r="J28"/>
  <c r="J32"/>
  <c r="M53"/>
  <c r="O53" s="1"/>
  <c r="J8"/>
  <c r="Q8" s="1"/>
  <c r="J60"/>
  <c r="T11"/>
  <c r="Q11"/>
  <c r="S75"/>
  <c r="S81"/>
  <c r="S172"/>
  <c r="S113"/>
  <c r="S149"/>
  <c r="S160"/>
  <c r="Q172"/>
  <c r="S183"/>
  <c r="O11"/>
  <c r="O16"/>
  <c r="M52"/>
  <c r="P57"/>
  <c r="S63"/>
  <c r="O75"/>
  <c r="O74" s="1"/>
  <c r="P104"/>
  <c r="O113"/>
  <c r="J124"/>
  <c r="P124" s="1"/>
  <c r="S177"/>
  <c r="O183"/>
  <c r="N11"/>
  <c r="N16"/>
  <c r="O57"/>
  <c r="O63"/>
  <c r="N75"/>
  <c r="O81"/>
  <c r="N113"/>
  <c r="N134"/>
  <c r="O172"/>
  <c r="N183"/>
  <c r="M8"/>
  <c r="O8" s="1"/>
  <c r="M10"/>
  <c r="O10" s="1"/>
  <c r="Q30"/>
  <c r="Q84"/>
  <c r="M121"/>
  <c r="S121" s="1"/>
  <c r="J133"/>
  <c r="Q133" s="1"/>
  <c r="M42"/>
  <c r="S42" s="1"/>
  <c r="S111"/>
  <c r="N152"/>
  <c r="J40"/>
  <c r="P40" s="1"/>
  <c r="T180"/>
  <c r="J16"/>
  <c r="T16" s="1"/>
  <c r="M101"/>
  <c r="S101" s="1"/>
  <c r="J42"/>
  <c r="Q42" s="1"/>
  <c r="J111"/>
  <c r="J33"/>
  <c r="P33" s="1"/>
  <c r="M93"/>
  <c r="O93" s="1"/>
  <c r="S9"/>
  <c r="S73"/>
  <c r="S78"/>
  <c r="O151"/>
  <c r="O158"/>
  <c r="S180"/>
  <c r="O9"/>
  <c r="O66"/>
  <c r="Q78"/>
  <c r="S141"/>
  <c r="N151"/>
  <c r="N158"/>
  <c r="P252"/>
  <c r="Q252"/>
  <c r="J197"/>
  <c r="S197"/>
  <c r="S219"/>
  <c r="N219"/>
  <c r="N218" s="1"/>
  <c r="N217" s="1"/>
  <c r="O219"/>
  <c r="J200"/>
  <c r="P200" s="1"/>
  <c r="N200"/>
  <c r="O200"/>
  <c r="S200"/>
  <c r="J237"/>
  <c r="P237" s="1"/>
  <c r="N237"/>
  <c r="O237"/>
  <c r="S237"/>
  <c r="S240"/>
  <c r="M239"/>
  <c r="S239" s="1"/>
  <c r="N240"/>
  <c r="S204"/>
  <c r="O204"/>
  <c r="N225"/>
  <c r="S225"/>
  <c r="O225"/>
  <c r="T202"/>
  <c r="S208"/>
  <c r="N208"/>
  <c r="O208"/>
  <c r="J291"/>
  <c r="N291"/>
  <c r="O291"/>
  <c r="S291"/>
  <c r="S229"/>
  <c r="N229"/>
  <c r="O229"/>
  <c r="S212"/>
  <c r="J212"/>
  <c r="N212"/>
  <c r="O212"/>
  <c r="N233"/>
  <c r="S233"/>
  <c r="O233"/>
  <c r="P233"/>
  <c r="O278"/>
  <c r="N278"/>
  <c r="S236"/>
  <c r="O236"/>
  <c r="N236"/>
  <c r="N257"/>
  <c r="O257"/>
  <c r="S257"/>
  <c r="N258"/>
  <c r="O258"/>
  <c r="N281"/>
  <c r="O281"/>
  <c r="S199"/>
  <c r="N199"/>
  <c r="O199"/>
  <c r="J282"/>
  <c r="N282"/>
  <c r="O282"/>
  <c r="S282"/>
  <c r="O262"/>
  <c r="N201"/>
  <c r="O201"/>
  <c r="S201"/>
  <c r="J201"/>
  <c r="P234"/>
  <c r="T234"/>
  <c r="J285"/>
  <c r="P285" s="1"/>
  <c r="N285"/>
  <c r="O285"/>
  <c r="S285"/>
  <c r="S244"/>
  <c r="N244"/>
  <c r="N243" s="1"/>
  <c r="O244"/>
  <c r="N224"/>
  <c r="O224"/>
  <c r="S224"/>
  <c r="P274"/>
  <c r="T274"/>
  <c r="J287"/>
  <c r="O287"/>
  <c r="S287"/>
  <c r="N287"/>
  <c r="J205"/>
  <c r="N205"/>
  <c r="O205"/>
  <c r="S205"/>
  <c r="J269"/>
  <c r="S269"/>
  <c r="N269"/>
  <c r="O269"/>
  <c r="J207"/>
  <c r="J241"/>
  <c r="P255"/>
  <c r="P209"/>
  <c r="S247"/>
  <c r="S268"/>
  <c r="Q247"/>
  <c r="Q268"/>
  <c r="S277"/>
  <c r="S251"/>
  <c r="P268"/>
  <c r="S207"/>
  <c r="O247"/>
  <c r="Q251"/>
  <c r="O268"/>
  <c r="M245"/>
  <c r="S245" s="1"/>
  <c r="J215"/>
  <c r="J214" s="1"/>
  <c r="J213" s="1"/>
  <c r="P213" s="1"/>
  <c r="J276"/>
  <c r="P276" s="1"/>
  <c r="J211"/>
  <c r="Q226"/>
  <c r="J270"/>
  <c r="J206"/>
  <c r="N247"/>
  <c r="N268"/>
  <c r="O277"/>
  <c r="O198"/>
  <c r="J199"/>
  <c r="Q199" s="1"/>
  <c r="N198"/>
  <c r="N195"/>
  <c r="M194"/>
  <c r="S194" s="1"/>
  <c r="H264"/>
  <c r="P183"/>
  <c r="T183"/>
  <c r="Q183"/>
  <c r="T280"/>
  <c r="T12"/>
  <c r="Q12"/>
  <c r="P12"/>
  <c r="J10"/>
  <c r="G142"/>
  <c r="P153"/>
  <c r="Q153"/>
  <c r="T153"/>
  <c r="P174"/>
  <c r="P147"/>
  <c r="Q147"/>
  <c r="Q20"/>
  <c r="P20"/>
  <c r="T20"/>
  <c r="Q25"/>
  <c r="T25"/>
  <c r="P58"/>
  <c r="I142"/>
  <c r="J295"/>
  <c r="S289"/>
  <c r="O289"/>
  <c r="O253"/>
  <c r="S253"/>
  <c r="N253"/>
  <c r="G41"/>
  <c r="J66"/>
  <c r="T140"/>
  <c r="J236"/>
  <c r="J271"/>
  <c r="M50"/>
  <c r="M56"/>
  <c r="O56" s="1"/>
  <c r="N69"/>
  <c r="N72"/>
  <c r="M83"/>
  <c r="S83" s="1"/>
  <c r="H96"/>
  <c r="O117"/>
  <c r="N125"/>
  <c r="O128"/>
  <c r="S140"/>
  <c r="H192"/>
  <c r="N204"/>
  <c r="N246"/>
  <c r="J288"/>
  <c r="O284"/>
  <c r="S284"/>
  <c r="N284"/>
  <c r="N296"/>
  <c r="O296"/>
  <c r="P296"/>
  <c r="S296"/>
  <c r="O174"/>
  <c r="S174"/>
  <c r="P115"/>
  <c r="Q115"/>
  <c r="J258"/>
  <c r="S258"/>
  <c r="O95"/>
  <c r="S95"/>
  <c r="O59"/>
  <c r="S59"/>
  <c r="I220"/>
  <c r="I260"/>
  <c r="N252"/>
  <c r="O252"/>
  <c r="H260"/>
  <c r="J82"/>
  <c r="J64"/>
  <c r="J171"/>
  <c r="J219"/>
  <c r="H100"/>
  <c r="S147"/>
  <c r="S153"/>
  <c r="J246"/>
  <c r="J284"/>
  <c r="S68"/>
  <c r="S71"/>
  <c r="J95"/>
  <c r="J117"/>
  <c r="J128"/>
  <c r="S134"/>
  <c r="S137"/>
  <c r="Q196"/>
  <c r="M243"/>
  <c r="I46"/>
  <c r="I45" s="1"/>
  <c r="I44" s="1"/>
  <c r="J59"/>
  <c r="N77"/>
  <c r="Q134"/>
  <c r="P140"/>
  <c r="M170"/>
  <c r="O179"/>
  <c r="Q210"/>
  <c r="N235"/>
  <c r="L242"/>
  <c r="L216" s="1"/>
  <c r="M267"/>
  <c r="O276"/>
  <c r="S283"/>
  <c r="O29"/>
  <c r="S29"/>
  <c r="O102"/>
  <c r="S102"/>
  <c r="J281"/>
  <c r="S281"/>
  <c r="O231"/>
  <c r="S231"/>
  <c r="N231"/>
  <c r="J18"/>
  <c r="M54"/>
  <c r="J79"/>
  <c r="J161"/>
  <c r="J15"/>
  <c r="J208"/>
  <c r="J262"/>
  <c r="J261" s="1"/>
  <c r="M14"/>
  <c r="S14" s="1"/>
  <c r="M39"/>
  <c r="M48"/>
  <c r="G216"/>
  <c r="M218"/>
  <c r="S25"/>
  <c r="J72"/>
  <c r="T134"/>
  <c r="S196"/>
  <c r="T210"/>
  <c r="S280"/>
  <c r="O25"/>
  <c r="H46"/>
  <c r="S58"/>
  <c r="M65"/>
  <c r="O65" s="1"/>
  <c r="M74"/>
  <c r="S74" s="1"/>
  <c r="S94"/>
  <c r="S116"/>
  <c r="S127"/>
  <c r="O147"/>
  <c r="O153"/>
  <c r="O156"/>
  <c r="T182"/>
  <c r="O196"/>
  <c r="O203"/>
  <c r="O280"/>
  <c r="H13"/>
  <c r="O19"/>
  <c r="S19"/>
  <c r="N62"/>
  <c r="O62"/>
  <c r="P191"/>
  <c r="Q191"/>
  <c r="J167"/>
  <c r="J204"/>
  <c r="G7"/>
  <c r="S11"/>
  <c r="N25"/>
  <c r="T30"/>
  <c r="G46"/>
  <c r="O68"/>
  <c r="O71"/>
  <c r="O80"/>
  <c r="T113"/>
  <c r="O134"/>
  <c r="O137"/>
  <c r="N147"/>
  <c r="N153"/>
  <c r="N156"/>
  <c r="N196"/>
  <c r="N203"/>
  <c r="J231"/>
  <c r="O240"/>
  <c r="N280"/>
  <c r="N283"/>
  <c r="T290"/>
  <c r="M293"/>
  <c r="S293" s="1"/>
  <c r="P62"/>
  <c r="Q62"/>
  <c r="S223"/>
  <c r="O223"/>
  <c r="O279"/>
  <c r="S279"/>
  <c r="N279"/>
  <c r="M144"/>
  <c r="S144" s="1"/>
  <c r="S43"/>
  <c r="S162"/>
  <c r="S185"/>
  <c r="S195"/>
  <c r="J203"/>
  <c r="G213"/>
  <c r="J283"/>
  <c r="Q290"/>
  <c r="S18"/>
  <c r="S21"/>
  <c r="H41"/>
  <c r="Q43"/>
  <c r="M49"/>
  <c r="O49" s="1"/>
  <c r="N58"/>
  <c r="J80"/>
  <c r="Q85"/>
  <c r="N94"/>
  <c r="N93" s="1"/>
  <c r="N92" s="1"/>
  <c r="N107"/>
  <c r="P113"/>
  <c r="N116"/>
  <c r="N127"/>
  <c r="G168"/>
  <c r="S175"/>
  <c r="S178"/>
  <c r="Q185"/>
  <c r="N227"/>
  <c r="J240"/>
  <c r="J198"/>
  <c r="P279"/>
  <c r="Q279"/>
  <c r="T279"/>
  <c r="O24"/>
  <c r="S24"/>
  <c r="N67"/>
  <c r="O67"/>
  <c r="N123"/>
  <c r="O123"/>
  <c r="S123"/>
  <c r="N272"/>
  <c r="O272"/>
  <c r="S272"/>
  <c r="M273"/>
  <c r="S275"/>
  <c r="J289"/>
  <c r="S61"/>
  <c r="O30"/>
  <c r="O76"/>
  <c r="S79"/>
  <c r="S82"/>
  <c r="T136"/>
  <c r="S152"/>
  <c r="S155"/>
  <c r="S167"/>
  <c r="Q175"/>
  <c r="S181"/>
  <c r="O290"/>
  <c r="M34"/>
  <c r="O40"/>
  <c r="O43"/>
  <c r="O61"/>
  <c r="O85"/>
  <c r="O88"/>
  <c r="J94"/>
  <c r="S103"/>
  <c r="G119"/>
  <c r="O162"/>
  <c r="O185"/>
  <c r="O195"/>
  <c r="O286"/>
  <c r="N290"/>
  <c r="P24"/>
  <c r="Q24"/>
  <c r="P272"/>
  <c r="Q272"/>
  <c r="H292"/>
  <c r="J91"/>
  <c r="J278"/>
  <c r="O18"/>
  <c r="O21"/>
  <c r="N40"/>
  <c r="N39" s="1"/>
  <c r="N38" s="1"/>
  <c r="N43"/>
  <c r="N42" s="1"/>
  <c r="N41" s="1"/>
  <c r="M47"/>
  <c r="S47" s="1"/>
  <c r="S57"/>
  <c r="N85"/>
  <c r="S98"/>
  <c r="T115"/>
  <c r="Q136"/>
  <c r="M139"/>
  <c r="P139" s="1"/>
  <c r="N162"/>
  <c r="M164"/>
  <c r="O175"/>
  <c r="O178"/>
  <c r="N185"/>
  <c r="S222"/>
  <c r="S278"/>
  <c r="O250"/>
  <c r="J286"/>
  <c r="S286"/>
  <c r="G292"/>
  <c r="J21"/>
  <c r="L7"/>
  <c r="L46"/>
  <c r="L45" s="1"/>
  <c r="L44" s="1"/>
  <c r="M51"/>
  <c r="O51" s="1"/>
  <c r="O91"/>
  <c r="O152"/>
  <c r="N175"/>
  <c r="S254"/>
  <c r="N289"/>
  <c r="N215"/>
  <c r="N214" s="1"/>
  <c r="N213" s="1"/>
  <c r="Q202"/>
  <c r="S226"/>
  <c r="Q234"/>
  <c r="S256"/>
  <c r="Q274"/>
  <c r="O73"/>
  <c r="O78"/>
  <c r="O105"/>
  <c r="O126"/>
  <c r="O131"/>
  <c r="O136"/>
  <c r="O154"/>
  <c r="O159"/>
  <c r="O177"/>
  <c r="O182"/>
  <c r="O187"/>
  <c r="O197"/>
  <c r="O270"/>
  <c r="N73"/>
  <c r="N78"/>
  <c r="N105"/>
  <c r="N126"/>
  <c r="N131"/>
  <c r="N136"/>
  <c r="N154"/>
  <c r="N159"/>
  <c r="N177"/>
  <c r="N182"/>
  <c r="N187"/>
  <c r="N197"/>
  <c r="O256"/>
  <c r="O226"/>
  <c r="J103" i="83"/>
  <c r="Q103" s="1"/>
  <c r="J104"/>
  <c r="Q104" s="1"/>
  <c r="J105"/>
  <c r="Q105" s="1"/>
  <c r="J106"/>
  <c r="Q106" s="1"/>
  <c r="J107"/>
  <c r="Q107" s="1"/>
  <c r="J108"/>
  <c r="Q108" s="1"/>
  <c r="J109"/>
  <c r="Q109" s="1"/>
  <c r="J110"/>
  <c r="Q110" s="1"/>
  <c r="J111"/>
  <c r="P111" s="1"/>
  <c r="J112"/>
  <c r="P112" s="1"/>
  <c r="J113"/>
  <c r="J102"/>
  <c r="Q102" s="1"/>
  <c r="T9"/>
  <c r="Q11"/>
  <c r="S11"/>
  <c r="Q13"/>
  <c r="S13"/>
  <c r="Q14"/>
  <c r="S14"/>
  <c r="Q15"/>
  <c r="S15"/>
  <c r="Q16"/>
  <c r="S16"/>
  <c r="Q17"/>
  <c r="S17"/>
  <c r="Q18"/>
  <c r="S18"/>
  <c r="Q19"/>
  <c r="S19"/>
  <c r="Q20"/>
  <c r="S20"/>
  <c r="Q21"/>
  <c r="S21"/>
  <c r="Q22"/>
  <c r="S22"/>
  <c r="Q23"/>
  <c r="S23"/>
  <c r="Q24"/>
  <c r="S24"/>
  <c r="Q25"/>
  <c r="S25"/>
  <c r="Q26"/>
  <c r="S26"/>
  <c r="Q27"/>
  <c r="S27"/>
  <c r="Q28"/>
  <c r="S28"/>
  <c r="Q29"/>
  <c r="S29"/>
  <c r="Q30"/>
  <c r="S30"/>
  <c r="Q31"/>
  <c r="S31"/>
  <c r="Q32"/>
  <c r="S32"/>
  <c r="Q33"/>
  <c r="S33"/>
  <c r="Q34"/>
  <c r="S34"/>
  <c r="Q35"/>
  <c r="S35"/>
  <c r="Q36"/>
  <c r="S36"/>
  <c r="Q37"/>
  <c r="S37"/>
  <c r="Q38"/>
  <c r="S38"/>
  <c r="Q39"/>
  <c r="S39"/>
  <c r="Q40"/>
  <c r="S40"/>
  <c r="Q41"/>
  <c r="S41"/>
  <c r="Q42"/>
  <c r="S42"/>
  <c r="Q43"/>
  <c r="S43"/>
  <c r="Q44"/>
  <c r="S44"/>
  <c r="Q45"/>
  <c r="S45"/>
  <c r="Q46"/>
  <c r="S46"/>
  <c r="Q47"/>
  <c r="S47"/>
  <c r="Q48"/>
  <c r="S48"/>
  <c r="Q49"/>
  <c r="S49"/>
  <c r="Q50"/>
  <c r="S50"/>
  <c r="Q51"/>
  <c r="S51"/>
  <c r="Q52"/>
  <c r="S52"/>
  <c r="Q53"/>
  <c r="S53"/>
  <c r="Q54"/>
  <c r="S54"/>
  <c r="Q56"/>
  <c r="S56"/>
  <c r="Q57"/>
  <c r="S57"/>
  <c r="Q58"/>
  <c r="S58"/>
  <c r="Q59"/>
  <c r="S59"/>
  <c r="Q60"/>
  <c r="S60"/>
  <c r="Q61"/>
  <c r="S61"/>
  <c r="Q62"/>
  <c r="S62"/>
  <c r="Q63"/>
  <c r="S63"/>
  <c r="Q64"/>
  <c r="S64"/>
  <c r="Q65"/>
  <c r="S65"/>
  <c r="Q66"/>
  <c r="S66"/>
  <c r="Q67"/>
  <c r="S67"/>
  <c r="Q68"/>
  <c r="S68"/>
  <c r="Q69"/>
  <c r="S69"/>
  <c r="Q70"/>
  <c r="S70"/>
  <c r="Q71"/>
  <c r="S71"/>
  <c r="Q72"/>
  <c r="S72"/>
  <c r="Q73"/>
  <c r="S73"/>
  <c r="Q74"/>
  <c r="S74"/>
  <c r="Q75"/>
  <c r="S75"/>
  <c r="Q76"/>
  <c r="S76"/>
  <c r="Q77"/>
  <c r="S77"/>
  <c r="Q78"/>
  <c r="S78"/>
  <c r="Q79"/>
  <c r="S79"/>
  <c r="Q80"/>
  <c r="S80"/>
  <c r="Q81"/>
  <c r="S81"/>
  <c r="Q82"/>
  <c r="S82"/>
  <c r="Q83"/>
  <c r="S83"/>
  <c r="Q84"/>
  <c r="S84"/>
  <c r="Q85"/>
  <c r="S85"/>
  <c r="Q86"/>
  <c r="S86"/>
  <c r="Q87"/>
  <c r="S87"/>
  <c r="Q88"/>
  <c r="S88"/>
  <c r="Q89"/>
  <c r="S89"/>
  <c r="Q90"/>
  <c r="S90"/>
  <c r="Q91"/>
  <c r="S91"/>
  <c r="Q92"/>
  <c r="S92"/>
  <c r="Q93"/>
  <c r="S93"/>
  <c r="Q94"/>
  <c r="S94"/>
  <c r="Q95"/>
  <c r="S95"/>
  <c r="Q96"/>
  <c r="S96"/>
  <c r="Q97"/>
  <c r="S97"/>
  <c r="Q98"/>
  <c r="S98"/>
  <c r="S103"/>
  <c r="S104"/>
  <c r="S105"/>
  <c r="S106"/>
  <c r="S108"/>
  <c r="S110"/>
  <c r="Q111"/>
  <c r="S111"/>
  <c r="Q112"/>
  <c r="S112"/>
  <c r="Q113"/>
  <c r="S113"/>
  <c r="Q114"/>
  <c r="S114"/>
  <c r="Q115"/>
  <c r="S115"/>
  <c r="Q116"/>
  <c r="S116"/>
  <c r="Q117"/>
  <c r="S117"/>
  <c r="Q118"/>
  <c r="S118"/>
  <c r="Q123"/>
  <c r="S123"/>
  <c r="Q124"/>
  <c r="S124"/>
  <c r="Q125"/>
  <c r="S125"/>
  <c r="Q126"/>
  <c r="S126"/>
  <c r="Q127"/>
  <c r="S127"/>
  <c r="Q128"/>
  <c r="S128"/>
  <c r="Q129"/>
  <c r="S129"/>
  <c r="Q130"/>
  <c r="S130"/>
  <c r="Q131"/>
  <c r="S131"/>
  <c r="Q132"/>
  <c r="S132"/>
  <c r="Q133"/>
  <c r="S133"/>
  <c r="Q134"/>
  <c r="S134"/>
  <c r="Q135"/>
  <c r="S135"/>
  <c r="Q136"/>
  <c r="S136"/>
  <c r="Q137"/>
  <c r="S137"/>
  <c r="Q138"/>
  <c r="S138"/>
  <c r="Q139"/>
  <c r="S139"/>
  <c r="Q140"/>
  <c r="S140"/>
  <c r="Q141"/>
  <c r="S141"/>
  <c r="Q145"/>
  <c r="S145"/>
  <c r="Q146"/>
  <c r="S146"/>
  <c r="Q147"/>
  <c r="S147"/>
  <c r="Q148"/>
  <c r="S148"/>
  <c r="Q149"/>
  <c r="S149"/>
  <c r="Q150"/>
  <c r="S150"/>
  <c r="Q151"/>
  <c r="S151"/>
  <c r="Q152"/>
  <c r="S152"/>
  <c r="Q153"/>
  <c r="S153"/>
  <c r="Q154"/>
  <c r="S154"/>
  <c r="Q155"/>
  <c r="S155"/>
  <c r="Q156"/>
  <c r="S156"/>
  <c r="Q158"/>
  <c r="S158"/>
  <c r="Q159"/>
  <c r="S159"/>
  <c r="Q160"/>
  <c r="S160"/>
  <c r="Q161"/>
  <c r="S161"/>
  <c r="Q162"/>
  <c r="S162"/>
  <c r="Q163"/>
  <c r="S163"/>
  <c r="Q164"/>
  <c r="S164"/>
  <c r="Q165"/>
  <c r="S165"/>
  <c r="Q166"/>
  <c r="S166"/>
  <c r="Q167"/>
  <c r="S167"/>
  <c r="Q172"/>
  <c r="S172"/>
  <c r="Q173"/>
  <c r="S173"/>
  <c r="Q174"/>
  <c r="S174"/>
  <c r="Q175"/>
  <c r="S175"/>
  <c r="Q177"/>
  <c r="S177"/>
  <c r="Q179"/>
  <c r="S179"/>
  <c r="Q180"/>
  <c r="S180"/>
  <c r="Q181"/>
  <c r="S181"/>
  <c r="Q182"/>
  <c r="S182"/>
  <c r="Q183"/>
  <c r="S183"/>
  <c r="Q184"/>
  <c r="S184"/>
  <c r="Q185"/>
  <c r="S185"/>
  <c r="Q186"/>
  <c r="S186"/>
  <c r="Q187"/>
  <c r="S187"/>
  <c r="Q188"/>
  <c r="S188"/>
  <c r="Q189"/>
  <c r="S189"/>
  <c r="Q190"/>
  <c r="S190"/>
  <c r="Q191"/>
  <c r="S191"/>
  <c r="Q196"/>
  <c r="S196"/>
  <c r="Q200"/>
  <c r="S200"/>
  <c r="Q201"/>
  <c r="S201"/>
  <c r="Q202"/>
  <c r="S202"/>
  <c r="Q203"/>
  <c r="S203"/>
  <c r="Q204"/>
  <c r="S204"/>
  <c r="Q205"/>
  <c r="S205"/>
  <c r="Q206"/>
  <c r="S206"/>
  <c r="Q207"/>
  <c r="S207"/>
  <c r="Q208"/>
  <c r="S208"/>
  <c r="Q209"/>
  <c r="S209"/>
  <c r="Q210"/>
  <c r="S210"/>
  <c r="Q211"/>
  <c r="S211"/>
  <c r="Q212"/>
  <c r="S212"/>
  <c r="Q213"/>
  <c r="S213"/>
  <c r="Q214"/>
  <c r="S214"/>
  <c r="Q215"/>
  <c r="S215"/>
  <c r="Q217"/>
  <c r="S217"/>
  <c r="Q218"/>
  <c r="S218"/>
  <c r="Q219"/>
  <c r="S219"/>
  <c r="Q223"/>
  <c r="S223"/>
  <c r="Q226"/>
  <c r="S226"/>
  <c r="Q228"/>
  <c r="S228"/>
  <c r="Q229"/>
  <c r="S229"/>
  <c r="Q230"/>
  <c r="S230"/>
  <c r="Q231"/>
  <c r="S231"/>
  <c r="Q233"/>
  <c r="Q234"/>
  <c r="S234"/>
  <c r="Q235"/>
  <c r="S235"/>
  <c r="Q236"/>
  <c r="S236"/>
  <c r="Q237"/>
  <c r="S237"/>
  <c r="Q238"/>
  <c r="S238"/>
  <c r="Q239"/>
  <c r="S239"/>
  <c r="Q240"/>
  <c r="S240"/>
  <c r="Q241"/>
  <c r="S241"/>
  <c r="Q245"/>
  <c r="S245"/>
  <c r="Q246"/>
  <c r="S246"/>
  <c r="Q247"/>
  <c r="S247"/>
  <c r="Q251"/>
  <c r="S251"/>
  <c r="Q252"/>
  <c r="S252"/>
  <c r="Q253"/>
  <c r="S253"/>
  <c r="Q254"/>
  <c r="S254"/>
  <c r="Q255"/>
  <c r="S255"/>
  <c r="Q256"/>
  <c r="S256"/>
  <c r="Q257"/>
  <c r="S257"/>
  <c r="Q258"/>
  <c r="S258"/>
  <c r="Q259"/>
  <c r="S259"/>
  <c r="Q260"/>
  <c r="S260"/>
  <c r="Q261"/>
  <c r="S261"/>
  <c r="Q264"/>
  <c r="S264"/>
  <c r="Q265"/>
  <c r="S265"/>
  <c r="Q266"/>
  <c r="S266"/>
  <c r="Q267"/>
  <c r="S267"/>
  <c r="Q268"/>
  <c r="S268"/>
  <c r="Q269"/>
  <c r="S269"/>
  <c r="Q270"/>
  <c r="S270"/>
  <c r="Q273"/>
  <c r="S273"/>
  <c r="Q274"/>
  <c r="S274"/>
  <c r="Q275"/>
  <c r="S275"/>
  <c r="Q276"/>
  <c r="S276"/>
  <c r="Q277"/>
  <c r="S277"/>
  <c r="Q278"/>
  <c r="S278"/>
  <c r="Q279"/>
  <c r="S279"/>
  <c r="Q280"/>
  <c r="S280"/>
  <c r="Q281"/>
  <c r="S281"/>
  <c r="Q282"/>
  <c r="S282"/>
  <c r="Q283"/>
  <c r="S283"/>
  <c r="Q284"/>
  <c r="S284"/>
  <c r="Q285"/>
  <c r="S285"/>
  <c r="Q286"/>
  <c r="S286"/>
  <c r="Q287"/>
  <c r="S287"/>
  <c r="Q288"/>
  <c r="S288"/>
  <c r="Q289"/>
  <c r="S289"/>
  <c r="Q290"/>
  <c r="S290"/>
  <c r="Q291"/>
  <c r="S291"/>
  <c r="Q292"/>
  <c r="S292"/>
  <c r="Q293"/>
  <c r="S293"/>
  <c r="Q294"/>
  <c r="S294"/>
  <c r="Q9"/>
  <c r="P11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113"/>
  <c r="P114"/>
  <c r="P115"/>
  <c r="P116"/>
  <c r="P117"/>
  <c r="P118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5"/>
  <c r="P146"/>
  <c r="P147"/>
  <c r="P148"/>
  <c r="P149"/>
  <c r="P150"/>
  <c r="P151"/>
  <c r="P152"/>
  <c r="P153"/>
  <c r="P154"/>
  <c r="P155"/>
  <c r="P156"/>
  <c r="P158"/>
  <c r="P159"/>
  <c r="P160"/>
  <c r="P161"/>
  <c r="P162"/>
  <c r="P163"/>
  <c r="P164"/>
  <c r="P165"/>
  <c r="P166"/>
  <c r="P167"/>
  <c r="P172"/>
  <c r="P173"/>
  <c r="P174"/>
  <c r="P175"/>
  <c r="P177"/>
  <c r="P179"/>
  <c r="P180"/>
  <c r="P181"/>
  <c r="P182"/>
  <c r="P183"/>
  <c r="P184"/>
  <c r="P185"/>
  <c r="P186"/>
  <c r="P187"/>
  <c r="P188"/>
  <c r="P189"/>
  <c r="P190"/>
  <c r="P191"/>
  <c r="P196"/>
  <c r="P200"/>
  <c r="P201"/>
  <c r="P202"/>
  <c r="P203"/>
  <c r="P204"/>
  <c r="P205"/>
  <c r="P206"/>
  <c r="P207"/>
  <c r="P208"/>
  <c r="P209"/>
  <c r="P210"/>
  <c r="P211"/>
  <c r="P212"/>
  <c r="P213"/>
  <c r="P214"/>
  <c r="P215"/>
  <c r="P217"/>
  <c r="P218"/>
  <c r="P219"/>
  <c r="P223"/>
  <c r="P226"/>
  <c r="P228"/>
  <c r="P229"/>
  <c r="P230"/>
  <c r="P231"/>
  <c r="P234"/>
  <c r="P235"/>
  <c r="P236"/>
  <c r="P237"/>
  <c r="P238"/>
  <c r="P239"/>
  <c r="P240"/>
  <c r="P241"/>
  <c r="P245"/>
  <c r="P246"/>
  <c r="P247"/>
  <c r="P251"/>
  <c r="P252"/>
  <c r="P253"/>
  <c r="P254"/>
  <c r="P255"/>
  <c r="P256"/>
  <c r="P257"/>
  <c r="P258"/>
  <c r="P259"/>
  <c r="P260"/>
  <c r="P261"/>
  <c r="P264"/>
  <c r="P265"/>
  <c r="P266"/>
  <c r="P267"/>
  <c r="P268"/>
  <c r="P269"/>
  <c r="P270"/>
  <c r="P273"/>
  <c r="P274"/>
  <c r="P275"/>
  <c r="P276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J177"/>
  <c r="J174"/>
  <c r="M83" i="87" l="1"/>
  <c r="S83" s="1"/>
  <c r="M65"/>
  <c r="M181"/>
  <c r="Q148"/>
  <c r="T148"/>
  <c r="N135"/>
  <c r="J135"/>
  <c r="O135"/>
  <c r="S135"/>
  <c r="S147"/>
  <c r="O147"/>
  <c r="N147"/>
  <c r="J147"/>
  <c r="S293"/>
  <c r="J293"/>
  <c r="N293"/>
  <c r="O293"/>
  <c r="N241" i="86"/>
  <c r="O241"/>
  <c r="J241"/>
  <c r="S241"/>
  <c r="S221" i="87"/>
  <c r="N221"/>
  <c r="O221"/>
  <c r="P221"/>
  <c r="S239"/>
  <c r="N239"/>
  <c r="O239"/>
  <c r="J239"/>
  <c r="J286" i="86"/>
  <c r="N286"/>
  <c r="S286"/>
  <c r="O286"/>
  <c r="K49"/>
  <c r="M59"/>
  <c r="S167" i="87"/>
  <c r="O167"/>
  <c r="N167"/>
  <c r="J167"/>
  <c r="S202"/>
  <c r="P202"/>
  <c r="N202"/>
  <c r="N200" s="1"/>
  <c r="N199" s="1"/>
  <c r="O202"/>
  <c r="M200"/>
  <c r="S217"/>
  <c r="O217"/>
  <c r="N217"/>
  <c r="J217"/>
  <c r="J167" i="86"/>
  <c r="N167"/>
  <c r="O167"/>
  <c r="S167"/>
  <c r="N148" i="87"/>
  <c r="S148"/>
  <c r="P148"/>
  <c r="O148"/>
  <c r="N134" i="86"/>
  <c r="S134"/>
  <c r="O134"/>
  <c r="J134"/>
  <c r="S201"/>
  <c r="P201"/>
  <c r="O201"/>
  <c r="M199"/>
  <c r="N201"/>
  <c r="N199" s="1"/>
  <c r="N198" s="1"/>
  <c r="O68" i="87"/>
  <c r="N68"/>
  <c r="S68"/>
  <c r="J68"/>
  <c r="J236"/>
  <c r="S236"/>
  <c r="N236"/>
  <c r="O236"/>
  <c r="N135" i="86"/>
  <c r="J135"/>
  <c r="S135"/>
  <c r="O135"/>
  <c r="N216"/>
  <c r="S216"/>
  <c r="J216"/>
  <c r="O216"/>
  <c r="K49" i="87"/>
  <c r="M59"/>
  <c r="S126"/>
  <c r="N126"/>
  <c r="J126"/>
  <c r="O126"/>
  <c r="P124" i="86"/>
  <c r="O124"/>
  <c r="N124"/>
  <c r="S124"/>
  <c r="J292"/>
  <c r="O292"/>
  <c r="S292"/>
  <c r="N292"/>
  <c r="P148"/>
  <c r="O148"/>
  <c r="S148"/>
  <c r="N148"/>
  <c r="J147"/>
  <c r="N147"/>
  <c r="O147"/>
  <c r="S147"/>
  <c r="S73" i="87"/>
  <c r="J73"/>
  <c r="O73"/>
  <c r="N73"/>
  <c r="S72" i="86"/>
  <c r="O72"/>
  <c r="N72"/>
  <c r="J72"/>
  <c r="N291"/>
  <c r="J291"/>
  <c r="O291"/>
  <c r="S291"/>
  <c r="S69" i="87"/>
  <c r="J69"/>
  <c r="N69"/>
  <c r="O69"/>
  <c r="N68" i="86"/>
  <c r="J68"/>
  <c r="S68"/>
  <c r="O68"/>
  <c r="O287"/>
  <c r="N287"/>
  <c r="S287"/>
  <c r="J287"/>
  <c r="J222" i="87"/>
  <c r="N222"/>
  <c r="O222"/>
  <c r="S222"/>
  <c r="N235" i="86"/>
  <c r="O235"/>
  <c r="J235"/>
  <c r="S235"/>
  <c r="N220"/>
  <c r="O220"/>
  <c r="S220"/>
  <c r="P220"/>
  <c r="S114" i="87"/>
  <c r="O114"/>
  <c r="N114"/>
  <c r="J114"/>
  <c r="N21"/>
  <c r="S21"/>
  <c r="O21"/>
  <c r="N238" i="86"/>
  <c r="S238"/>
  <c r="O238"/>
  <c r="J238"/>
  <c r="S111" i="87"/>
  <c r="O111"/>
  <c r="N111"/>
  <c r="J111"/>
  <c r="S172" i="86"/>
  <c r="O172"/>
  <c r="J172"/>
  <c r="N172"/>
  <c r="S126"/>
  <c r="O126"/>
  <c r="N126"/>
  <c r="J126"/>
  <c r="S128" i="87"/>
  <c r="N128"/>
  <c r="O128"/>
  <c r="J128"/>
  <c r="J77"/>
  <c r="O77"/>
  <c r="N77"/>
  <c r="S77"/>
  <c r="J73" i="86"/>
  <c r="O73"/>
  <c r="N73"/>
  <c r="S73"/>
  <c r="O209" i="87"/>
  <c r="S209"/>
  <c r="J209"/>
  <c r="N209"/>
  <c r="S32"/>
  <c r="O32"/>
  <c r="J32"/>
  <c r="N32"/>
  <c r="N270"/>
  <c r="J270"/>
  <c r="S270"/>
  <c r="O270"/>
  <c r="N182"/>
  <c r="S182"/>
  <c r="O182"/>
  <c r="J160"/>
  <c r="O160"/>
  <c r="S160"/>
  <c r="N160"/>
  <c r="J69" i="86"/>
  <c r="N69"/>
  <c r="S69"/>
  <c r="O69"/>
  <c r="J28" i="87"/>
  <c r="S28"/>
  <c r="N28"/>
  <c r="O28"/>
  <c r="S266"/>
  <c r="O266"/>
  <c r="J266"/>
  <c r="N266"/>
  <c r="N221" i="86"/>
  <c r="J221"/>
  <c r="S221"/>
  <c r="O221"/>
  <c r="S197" i="87"/>
  <c r="O197"/>
  <c r="N197"/>
  <c r="J197"/>
  <c r="J114" i="86"/>
  <c r="O114"/>
  <c r="N114"/>
  <c r="S114"/>
  <c r="J21"/>
  <c r="N21"/>
  <c r="S21"/>
  <c r="O21"/>
  <c r="J111"/>
  <c r="S111"/>
  <c r="O111"/>
  <c r="N111"/>
  <c r="M110"/>
  <c r="J84" i="87"/>
  <c r="S84"/>
  <c r="O84"/>
  <c r="N84"/>
  <c r="S17"/>
  <c r="O17"/>
  <c r="N17"/>
  <c r="N75"/>
  <c r="J75"/>
  <c r="O75"/>
  <c r="O74" s="1"/>
  <c r="S75"/>
  <c r="J122"/>
  <c r="N122"/>
  <c r="O122"/>
  <c r="S122"/>
  <c r="J128" i="86"/>
  <c r="N128"/>
  <c r="S128"/>
  <c r="O128"/>
  <c r="N77"/>
  <c r="S77"/>
  <c r="O77"/>
  <c r="J77"/>
  <c r="S295" i="87"/>
  <c r="N295"/>
  <c r="J295"/>
  <c r="O295"/>
  <c r="J208" i="86"/>
  <c r="N208"/>
  <c r="S208"/>
  <c r="O208"/>
  <c r="J32"/>
  <c r="N32"/>
  <c r="S32"/>
  <c r="O32"/>
  <c r="J268"/>
  <c r="O268"/>
  <c r="S268"/>
  <c r="N268"/>
  <c r="N181"/>
  <c r="M180"/>
  <c r="J181"/>
  <c r="S181"/>
  <c r="O181"/>
  <c r="O160"/>
  <c r="N160"/>
  <c r="S160"/>
  <c r="J160"/>
  <c r="N28"/>
  <c r="S28"/>
  <c r="O28"/>
  <c r="J28"/>
  <c r="O264"/>
  <c r="J264"/>
  <c r="S264"/>
  <c r="N264"/>
  <c r="S198" i="87"/>
  <c r="N198"/>
  <c r="O198"/>
  <c r="J198"/>
  <c r="O192"/>
  <c r="N192"/>
  <c r="P192"/>
  <c r="S192"/>
  <c r="S196" i="86"/>
  <c r="N196"/>
  <c r="O196"/>
  <c r="J196"/>
  <c r="K52" i="87"/>
  <c r="M62"/>
  <c r="M52" s="1"/>
  <c r="P219"/>
  <c r="O219"/>
  <c r="N219"/>
  <c r="S219"/>
  <c r="J84" i="86"/>
  <c r="M83"/>
  <c r="S83" s="1"/>
  <c r="S84"/>
  <c r="O84"/>
  <c r="N84"/>
  <c r="P280" i="84"/>
  <c r="N262"/>
  <c r="N261" s="1"/>
  <c r="N260" s="1"/>
  <c r="P152"/>
  <c r="J75" i="86"/>
  <c r="N75"/>
  <c r="S75"/>
  <c r="M74"/>
  <c r="S74" s="1"/>
  <c r="O75"/>
  <c r="O74" s="1"/>
  <c r="S165"/>
  <c r="P165"/>
  <c r="O165"/>
  <c r="N165"/>
  <c r="N134" i="87"/>
  <c r="O134"/>
  <c r="S134"/>
  <c r="J134"/>
  <c r="O88" i="86"/>
  <c r="J88"/>
  <c r="S88"/>
  <c r="N88"/>
  <c r="S215"/>
  <c r="N215"/>
  <c r="O215"/>
  <c r="J215"/>
  <c r="N124" i="87"/>
  <c r="O124"/>
  <c r="P124"/>
  <c r="S124"/>
  <c r="S72"/>
  <c r="N72"/>
  <c r="O72"/>
  <c r="J72"/>
  <c r="J289"/>
  <c r="O289"/>
  <c r="N289"/>
  <c r="S289"/>
  <c r="N82" i="86"/>
  <c r="S82"/>
  <c r="J82"/>
  <c r="O82"/>
  <c r="S19" i="87"/>
  <c r="N19"/>
  <c r="O19"/>
  <c r="N17" i="86"/>
  <c r="S17"/>
  <c r="O17"/>
  <c r="J17"/>
  <c r="S122"/>
  <c r="N122"/>
  <c r="J122"/>
  <c r="O122"/>
  <c r="N107" i="87"/>
  <c r="N106" s="1"/>
  <c r="N105" s="1"/>
  <c r="S107"/>
  <c r="P107"/>
  <c r="O107"/>
  <c r="M106"/>
  <c r="S293" i="86"/>
  <c r="O293"/>
  <c r="N293"/>
  <c r="J293"/>
  <c r="O145" i="87"/>
  <c r="N145"/>
  <c r="S145"/>
  <c r="P145"/>
  <c r="J12"/>
  <c r="O12"/>
  <c r="N12"/>
  <c r="S12"/>
  <c r="J161"/>
  <c r="N161"/>
  <c r="O161"/>
  <c r="S161"/>
  <c r="N140"/>
  <c r="P140"/>
  <c r="O140"/>
  <c r="S140"/>
  <c r="N29"/>
  <c r="S29"/>
  <c r="P29"/>
  <c r="O29"/>
  <c r="J290"/>
  <c r="S290"/>
  <c r="O290"/>
  <c r="N290"/>
  <c r="S197" i="86"/>
  <c r="O197"/>
  <c r="N197"/>
  <c r="J197"/>
  <c r="S191"/>
  <c r="N191"/>
  <c r="P191"/>
  <c r="O191"/>
  <c r="J85" i="87"/>
  <c r="N85"/>
  <c r="S85"/>
  <c r="O85"/>
  <c r="K52" i="86"/>
  <c r="M62"/>
  <c r="N218"/>
  <c r="S218"/>
  <c r="P218"/>
  <c r="O218"/>
  <c r="O22" i="87"/>
  <c r="N22"/>
  <c r="S22"/>
  <c r="N19" i="86"/>
  <c r="O19"/>
  <c r="S19"/>
  <c r="J19"/>
  <c r="S300" i="87"/>
  <c r="O300"/>
  <c r="N300"/>
  <c r="J300"/>
  <c r="O15"/>
  <c r="N15"/>
  <c r="S15"/>
  <c r="M14"/>
  <c r="J15"/>
  <c r="N107" i="86"/>
  <c r="N106" s="1"/>
  <c r="N105" s="1"/>
  <c r="O107"/>
  <c r="M106"/>
  <c r="S107"/>
  <c r="P107"/>
  <c r="J299" i="87"/>
  <c r="S299"/>
  <c r="O299"/>
  <c r="N299"/>
  <c r="N164"/>
  <c r="O164"/>
  <c r="S164"/>
  <c r="J164"/>
  <c r="P145" i="86"/>
  <c r="S145"/>
  <c r="N145"/>
  <c r="O145"/>
  <c r="J12"/>
  <c r="O12"/>
  <c r="N12"/>
  <c r="S12"/>
  <c r="S247" i="87"/>
  <c r="O247"/>
  <c r="N247"/>
  <c r="O161" i="86"/>
  <c r="N161"/>
  <c r="J161"/>
  <c r="S161"/>
  <c r="P140"/>
  <c r="N140"/>
  <c r="S140"/>
  <c r="O140"/>
  <c r="P29"/>
  <c r="N29"/>
  <c r="O29"/>
  <c r="S29"/>
  <c r="J288"/>
  <c r="S288"/>
  <c r="N288"/>
  <c r="O288"/>
  <c r="S132" i="87"/>
  <c r="N132"/>
  <c r="O132"/>
  <c r="J132"/>
  <c r="M131"/>
  <c r="J156"/>
  <c r="S156"/>
  <c r="O156"/>
  <c r="N156"/>
  <c r="S85" i="86"/>
  <c r="J85"/>
  <c r="O85"/>
  <c r="N85"/>
  <c r="N218" i="87"/>
  <c r="O218"/>
  <c r="J218"/>
  <c r="S218"/>
  <c r="N22" i="86"/>
  <c r="S22"/>
  <c r="J22"/>
  <c r="O22"/>
  <c r="N185" i="87"/>
  <c r="J185"/>
  <c r="S185"/>
  <c r="O185"/>
  <c r="K50"/>
  <c r="M60"/>
  <c r="K51"/>
  <c r="M61"/>
  <c r="S298" i="86"/>
  <c r="J298"/>
  <c r="O298"/>
  <c r="N298"/>
  <c r="J15"/>
  <c r="N15"/>
  <c r="M14"/>
  <c r="O15"/>
  <c r="S15"/>
  <c r="N144" i="87"/>
  <c r="P144"/>
  <c r="S144"/>
  <c r="O144"/>
  <c r="S297" i="86"/>
  <c r="O297"/>
  <c r="N297"/>
  <c r="J297"/>
  <c r="J164"/>
  <c r="N164"/>
  <c r="S164"/>
  <c r="O164"/>
  <c r="N246"/>
  <c r="S246"/>
  <c r="O246"/>
  <c r="J246"/>
  <c r="P141" i="87"/>
  <c r="N141"/>
  <c r="S141"/>
  <c r="O141"/>
  <c r="N119"/>
  <c r="O119"/>
  <c r="P119"/>
  <c r="S119"/>
  <c r="N267"/>
  <c r="J267"/>
  <c r="O267"/>
  <c r="S267"/>
  <c r="J243"/>
  <c r="S243"/>
  <c r="N243"/>
  <c r="O243"/>
  <c r="O157"/>
  <c r="N157"/>
  <c r="S157"/>
  <c r="J157"/>
  <c r="J132" i="86"/>
  <c r="N132"/>
  <c r="O132"/>
  <c r="S132"/>
  <c r="M131"/>
  <c r="S156"/>
  <c r="J156"/>
  <c r="N156"/>
  <c r="O156"/>
  <c r="J217"/>
  <c r="O217"/>
  <c r="S217"/>
  <c r="N217"/>
  <c r="N195" i="87"/>
  <c r="O195"/>
  <c r="P195"/>
  <c r="S195"/>
  <c r="J304"/>
  <c r="S304"/>
  <c r="O304"/>
  <c r="N304"/>
  <c r="O184" i="86"/>
  <c r="J184"/>
  <c r="N184"/>
  <c r="S184"/>
  <c r="K50"/>
  <c r="M60"/>
  <c r="K51"/>
  <c r="M61"/>
  <c r="P123" i="84"/>
  <c r="S262"/>
  <c r="T150"/>
  <c r="T9"/>
  <c r="T177"/>
  <c r="T162"/>
  <c r="O79" i="86"/>
  <c r="J79"/>
  <c r="N79"/>
  <c r="S79"/>
  <c r="N168"/>
  <c r="P168"/>
  <c r="S168"/>
  <c r="O168"/>
  <c r="N211"/>
  <c r="J211"/>
  <c r="S211"/>
  <c r="O211"/>
  <c r="N89"/>
  <c r="S89"/>
  <c r="O89"/>
  <c r="J89"/>
  <c r="N242" i="87"/>
  <c r="O242"/>
  <c r="S242"/>
  <c r="P240" i="86"/>
  <c r="O240"/>
  <c r="N240"/>
  <c r="S240"/>
  <c r="N173" i="87"/>
  <c r="O173"/>
  <c r="S173"/>
  <c r="J173"/>
  <c r="N187"/>
  <c r="O187"/>
  <c r="S187"/>
  <c r="J187"/>
  <c r="O144" i="86"/>
  <c r="N144"/>
  <c r="P144"/>
  <c r="S144"/>
  <c r="N78" i="87"/>
  <c r="J78"/>
  <c r="S78"/>
  <c r="O78"/>
  <c r="J233"/>
  <c r="O233"/>
  <c r="N233"/>
  <c r="S233"/>
  <c r="N123"/>
  <c r="S123"/>
  <c r="O123"/>
  <c r="P123"/>
  <c r="O30"/>
  <c r="N30"/>
  <c r="S30"/>
  <c r="P30"/>
  <c r="O141" i="86"/>
  <c r="N141"/>
  <c r="P141"/>
  <c r="S141"/>
  <c r="O119"/>
  <c r="P119"/>
  <c r="S119"/>
  <c r="N119"/>
  <c r="S215" i="87"/>
  <c r="O215"/>
  <c r="N215"/>
  <c r="O265" i="86"/>
  <c r="S265"/>
  <c r="N265"/>
  <c r="J265"/>
  <c r="N242"/>
  <c r="S242"/>
  <c r="O242"/>
  <c r="J242"/>
  <c r="O157"/>
  <c r="N157"/>
  <c r="S157"/>
  <c r="J157"/>
  <c r="J136" i="87"/>
  <c r="O136"/>
  <c r="S136"/>
  <c r="N136"/>
  <c r="J25"/>
  <c r="O25"/>
  <c r="N25"/>
  <c r="S25"/>
  <c r="N194" i="86"/>
  <c r="S194"/>
  <c r="O194"/>
  <c r="P194"/>
  <c r="J302"/>
  <c r="S302"/>
  <c r="O302"/>
  <c r="N302"/>
  <c r="J234" i="87"/>
  <c r="N234"/>
  <c r="O234"/>
  <c r="S234"/>
  <c r="J186" i="86"/>
  <c r="S186"/>
  <c r="O186"/>
  <c r="N186"/>
  <c r="J78"/>
  <c r="N78"/>
  <c r="S78"/>
  <c r="O78"/>
  <c r="K231"/>
  <c r="K230" s="1"/>
  <c r="M232"/>
  <c r="N123"/>
  <c r="S123"/>
  <c r="O123"/>
  <c r="P123"/>
  <c r="N30"/>
  <c r="S30"/>
  <c r="P30"/>
  <c r="O30"/>
  <c r="K256" i="87"/>
  <c r="M257"/>
  <c r="O207"/>
  <c r="J207"/>
  <c r="N207"/>
  <c r="S207"/>
  <c r="N120"/>
  <c r="S120"/>
  <c r="O120"/>
  <c r="J90"/>
  <c r="N90"/>
  <c r="O90"/>
  <c r="S90"/>
  <c r="J214" i="86"/>
  <c r="O214"/>
  <c r="S214"/>
  <c r="N214"/>
  <c r="S223" i="87"/>
  <c r="O223"/>
  <c r="J223"/>
  <c r="N223"/>
  <c r="N137"/>
  <c r="J137"/>
  <c r="O137"/>
  <c r="S137"/>
  <c r="S136" i="86"/>
  <c r="N136"/>
  <c r="O136"/>
  <c r="J136"/>
  <c r="O25"/>
  <c r="N25"/>
  <c r="J25"/>
  <c r="S25"/>
  <c r="K261"/>
  <c r="J250" i="84"/>
  <c r="Q250" s="1"/>
  <c r="S238" i="87"/>
  <c r="N238"/>
  <c r="J238"/>
  <c r="O238"/>
  <c r="S233" i="86"/>
  <c r="N233"/>
  <c r="J233"/>
  <c r="O233"/>
  <c r="J64" i="87"/>
  <c r="N64"/>
  <c r="S64"/>
  <c r="O64"/>
  <c r="M58"/>
  <c r="K48"/>
  <c r="K254" i="86"/>
  <c r="M255"/>
  <c r="J206"/>
  <c r="N206"/>
  <c r="O206"/>
  <c r="S206"/>
  <c r="N120"/>
  <c r="O120"/>
  <c r="S120"/>
  <c r="J120"/>
  <c r="O90"/>
  <c r="S90"/>
  <c r="N90"/>
  <c r="J90"/>
  <c r="N302" i="87"/>
  <c r="O302"/>
  <c r="S302"/>
  <c r="P244"/>
  <c r="O244"/>
  <c r="N244"/>
  <c r="S244"/>
  <c r="O222" i="86"/>
  <c r="N222"/>
  <c r="J222"/>
  <c r="S222"/>
  <c r="O137"/>
  <c r="N137"/>
  <c r="J137"/>
  <c r="S137"/>
  <c r="O9" i="87"/>
  <c r="J9"/>
  <c r="M8"/>
  <c r="N9"/>
  <c r="N8" s="1"/>
  <c r="S9"/>
  <c r="J115"/>
  <c r="N115"/>
  <c r="O115"/>
  <c r="S115"/>
  <c r="J240"/>
  <c r="N240"/>
  <c r="O240"/>
  <c r="S240"/>
  <c r="N235"/>
  <c r="O235"/>
  <c r="J235"/>
  <c r="S235"/>
  <c r="N237" i="86"/>
  <c r="O237"/>
  <c r="J237"/>
  <c r="S237"/>
  <c r="M57" i="87"/>
  <c r="K47"/>
  <c r="J81"/>
  <c r="S81"/>
  <c r="N81"/>
  <c r="O81"/>
  <c r="N245" i="84"/>
  <c r="Q177"/>
  <c r="S250"/>
  <c r="T175"/>
  <c r="P145"/>
  <c r="J143" i="86"/>
  <c r="O143"/>
  <c r="N143"/>
  <c r="S143"/>
  <c r="N121"/>
  <c r="P121"/>
  <c r="O121"/>
  <c r="S121"/>
  <c r="O266"/>
  <c r="S266"/>
  <c r="N266"/>
  <c r="J266"/>
  <c r="N170"/>
  <c r="S170"/>
  <c r="O170"/>
  <c r="P170"/>
  <c r="O23"/>
  <c r="N23"/>
  <c r="J23"/>
  <c r="S23"/>
  <c r="S294" i="87"/>
  <c r="N294"/>
  <c r="J294"/>
  <c r="O294"/>
  <c r="S288"/>
  <c r="O288"/>
  <c r="J288"/>
  <c r="N288"/>
  <c r="P125"/>
  <c r="O125"/>
  <c r="S125"/>
  <c r="N125"/>
  <c r="K54" i="86"/>
  <c r="M64"/>
  <c r="K48"/>
  <c r="M58"/>
  <c r="S296" i="87"/>
  <c r="J296"/>
  <c r="N296"/>
  <c r="O296"/>
  <c r="N166"/>
  <c r="J166"/>
  <c r="O166"/>
  <c r="S166"/>
  <c r="O271"/>
  <c r="N271"/>
  <c r="J271"/>
  <c r="S271"/>
  <c r="S183"/>
  <c r="O183"/>
  <c r="N183"/>
  <c r="J183"/>
  <c r="S91"/>
  <c r="O91"/>
  <c r="J91"/>
  <c r="N91"/>
  <c r="N70"/>
  <c r="S70"/>
  <c r="O70"/>
  <c r="J70"/>
  <c r="S300" i="86"/>
  <c r="N300"/>
  <c r="O300"/>
  <c r="J300"/>
  <c r="N243"/>
  <c r="S243"/>
  <c r="O243"/>
  <c r="P243"/>
  <c r="N116" i="87"/>
  <c r="O116"/>
  <c r="S116"/>
  <c r="J116"/>
  <c r="M8" i="86"/>
  <c r="O9"/>
  <c r="J9"/>
  <c r="N9"/>
  <c r="N8" s="1"/>
  <c r="S9"/>
  <c r="N115"/>
  <c r="J115"/>
  <c r="S115"/>
  <c r="O115"/>
  <c r="N239"/>
  <c r="S239"/>
  <c r="O239"/>
  <c r="J239"/>
  <c r="N234"/>
  <c r="J234"/>
  <c r="O234"/>
  <c r="S234"/>
  <c r="K47"/>
  <c r="M57"/>
  <c r="S81"/>
  <c r="O81"/>
  <c r="J81"/>
  <c r="N81"/>
  <c r="N303" i="87"/>
  <c r="J303"/>
  <c r="O303"/>
  <c r="S303"/>
  <c r="O125" i="86"/>
  <c r="S125"/>
  <c r="N125"/>
  <c r="P125"/>
  <c r="J213" i="87"/>
  <c r="O213"/>
  <c r="N213"/>
  <c r="S213"/>
  <c r="N294" i="86"/>
  <c r="J294"/>
  <c r="S294"/>
  <c r="O294"/>
  <c r="J166"/>
  <c r="S166"/>
  <c r="N166"/>
  <c r="O166"/>
  <c r="N269"/>
  <c r="O269"/>
  <c r="S269"/>
  <c r="J269"/>
  <c r="S182"/>
  <c r="N182"/>
  <c r="J182"/>
  <c r="O182"/>
  <c r="J91"/>
  <c r="N91"/>
  <c r="O91"/>
  <c r="S91"/>
  <c r="O70"/>
  <c r="J70"/>
  <c r="S70"/>
  <c r="N70"/>
  <c r="O159" i="87"/>
  <c r="N159"/>
  <c r="S159"/>
  <c r="J159"/>
  <c r="S158"/>
  <c r="O158"/>
  <c r="N158"/>
  <c r="J158"/>
  <c r="N116" i="86"/>
  <c r="J116"/>
  <c r="S116"/>
  <c r="O116"/>
  <c r="O194" i="87"/>
  <c r="S194"/>
  <c r="P194"/>
  <c r="N194"/>
  <c r="N301"/>
  <c r="O301"/>
  <c r="P301"/>
  <c r="S301"/>
  <c r="N301" i="86"/>
  <c r="J301"/>
  <c r="S301"/>
  <c r="O301"/>
  <c r="O214" i="87"/>
  <c r="S214"/>
  <c r="N214"/>
  <c r="J76"/>
  <c r="N76"/>
  <c r="O76"/>
  <c r="S76"/>
  <c r="S245"/>
  <c r="P245"/>
  <c r="O245"/>
  <c r="N245"/>
  <c r="N18"/>
  <c r="O18"/>
  <c r="S18"/>
  <c r="N212" i="86"/>
  <c r="S212"/>
  <c r="O212"/>
  <c r="J212"/>
  <c r="O297" i="87"/>
  <c r="N297"/>
  <c r="J297"/>
  <c r="S297"/>
  <c r="J208"/>
  <c r="S208"/>
  <c r="O208"/>
  <c r="N208"/>
  <c r="J71"/>
  <c r="S71"/>
  <c r="O71"/>
  <c r="N71"/>
  <c r="O193"/>
  <c r="N193"/>
  <c r="S193"/>
  <c r="J159" i="86"/>
  <c r="N159"/>
  <c r="S159"/>
  <c r="O159"/>
  <c r="J158"/>
  <c r="O158"/>
  <c r="N158"/>
  <c r="S158"/>
  <c r="N86" i="87"/>
  <c r="J86"/>
  <c r="O86"/>
  <c r="S86"/>
  <c r="N188"/>
  <c r="S188"/>
  <c r="O188"/>
  <c r="S220"/>
  <c r="P220"/>
  <c r="O220"/>
  <c r="N220"/>
  <c r="N80"/>
  <c r="O80"/>
  <c r="J80"/>
  <c r="S80"/>
  <c r="N193" i="86"/>
  <c r="P193"/>
  <c r="S193"/>
  <c r="O193"/>
  <c r="O299"/>
  <c r="N299"/>
  <c r="S299"/>
  <c r="P299"/>
  <c r="T152" i="84"/>
  <c r="Q69"/>
  <c r="Q162"/>
  <c r="P232"/>
  <c r="P180"/>
  <c r="K54" i="87"/>
  <c r="M82"/>
  <c r="M54" s="1"/>
  <c r="J213" i="86"/>
  <c r="N213"/>
  <c r="S213"/>
  <c r="O213"/>
  <c r="O20" i="87"/>
  <c r="N20"/>
  <c r="S20"/>
  <c r="N71" i="86"/>
  <c r="S71"/>
  <c r="O71"/>
  <c r="J71"/>
  <c r="J292" i="87"/>
  <c r="N292"/>
  <c r="O292"/>
  <c r="S292"/>
  <c r="O138"/>
  <c r="N138"/>
  <c r="J138"/>
  <c r="S138"/>
  <c r="J186"/>
  <c r="N186"/>
  <c r="O186"/>
  <c r="S186"/>
  <c r="N219" i="86"/>
  <c r="P219"/>
  <c r="S219"/>
  <c r="O219"/>
  <c r="J80"/>
  <c r="S80"/>
  <c r="O80"/>
  <c r="N80"/>
  <c r="J189" i="87"/>
  <c r="N189"/>
  <c r="O189"/>
  <c r="S189"/>
  <c r="S163"/>
  <c r="P163"/>
  <c r="O163"/>
  <c r="N163"/>
  <c r="O290" i="86"/>
  <c r="J290"/>
  <c r="N290"/>
  <c r="S290"/>
  <c r="J138"/>
  <c r="N138"/>
  <c r="S138"/>
  <c r="O138"/>
  <c r="N66" i="87"/>
  <c r="O66"/>
  <c r="J66"/>
  <c r="S66"/>
  <c r="J133"/>
  <c r="O133"/>
  <c r="N133"/>
  <c r="S133"/>
  <c r="S189" i="86"/>
  <c r="O189"/>
  <c r="N189"/>
  <c r="P189"/>
  <c r="S191" i="87"/>
  <c r="N191"/>
  <c r="O191"/>
  <c r="J191"/>
  <c r="J250"/>
  <c r="N250"/>
  <c r="O250"/>
  <c r="S250"/>
  <c r="O31" i="86"/>
  <c r="S31"/>
  <c r="N31"/>
  <c r="P31"/>
  <c r="S118" i="87"/>
  <c r="O118"/>
  <c r="N118"/>
  <c r="J118"/>
  <c r="S67"/>
  <c r="J67"/>
  <c r="N67"/>
  <c r="O67"/>
  <c r="N112"/>
  <c r="S112"/>
  <c r="O112"/>
  <c r="J112"/>
  <c r="N169"/>
  <c r="P169"/>
  <c r="O169"/>
  <c r="S169"/>
  <c r="S16" i="86"/>
  <c r="J16"/>
  <c r="O16"/>
  <c r="N16"/>
  <c r="S210" i="87"/>
  <c r="N210"/>
  <c r="O210"/>
  <c r="J210"/>
  <c r="N190" i="86"/>
  <c r="J190"/>
  <c r="S190"/>
  <c r="O190"/>
  <c r="N146" i="87"/>
  <c r="O146"/>
  <c r="P146"/>
  <c r="S146"/>
  <c r="O248" i="86"/>
  <c r="S248"/>
  <c r="N248"/>
  <c r="J248"/>
  <c r="J33" i="87"/>
  <c r="N33"/>
  <c r="O33"/>
  <c r="S33"/>
  <c r="N267" i="86"/>
  <c r="S267"/>
  <c r="O267"/>
  <c r="J267"/>
  <c r="J291" i="87"/>
  <c r="S291"/>
  <c r="N291"/>
  <c r="O291"/>
  <c r="J118" i="86"/>
  <c r="O118"/>
  <c r="N118"/>
  <c r="S118"/>
  <c r="N117"/>
  <c r="J117"/>
  <c r="S117"/>
  <c r="O117"/>
  <c r="S67"/>
  <c r="O67"/>
  <c r="N67"/>
  <c r="J67"/>
  <c r="S265" i="87"/>
  <c r="J265"/>
  <c r="O265"/>
  <c r="N265"/>
  <c r="O26"/>
  <c r="P26"/>
  <c r="N26"/>
  <c r="S26"/>
  <c r="J264"/>
  <c r="S264"/>
  <c r="O264"/>
  <c r="N264"/>
  <c r="O112" i="86"/>
  <c r="N112"/>
  <c r="S112"/>
  <c r="J112"/>
  <c r="K53" i="87"/>
  <c r="M63"/>
  <c r="K232"/>
  <c r="K231" s="1"/>
  <c r="M237"/>
  <c r="M232" s="1"/>
  <c r="J171"/>
  <c r="S171"/>
  <c r="N171"/>
  <c r="O171"/>
  <c r="P73" i="84"/>
  <c r="N76" i="86"/>
  <c r="J76"/>
  <c r="S76"/>
  <c r="O76"/>
  <c r="J18"/>
  <c r="S18"/>
  <c r="O18"/>
  <c r="N18"/>
  <c r="S207"/>
  <c r="O207"/>
  <c r="J207"/>
  <c r="N207"/>
  <c r="J192"/>
  <c r="N192"/>
  <c r="O192"/>
  <c r="S192"/>
  <c r="N87" i="87"/>
  <c r="O87"/>
  <c r="J87"/>
  <c r="S87"/>
  <c r="S187" i="86"/>
  <c r="N187"/>
  <c r="J187"/>
  <c r="O187"/>
  <c r="S113" i="87"/>
  <c r="O113"/>
  <c r="N113"/>
  <c r="J113"/>
  <c r="N211"/>
  <c r="J211"/>
  <c r="S211"/>
  <c r="O211"/>
  <c r="O31"/>
  <c r="P31"/>
  <c r="N31"/>
  <c r="S31"/>
  <c r="J139" i="86"/>
  <c r="N139"/>
  <c r="S139"/>
  <c r="O139"/>
  <c r="O185"/>
  <c r="N185"/>
  <c r="S185"/>
  <c r="J185"/>
  <c r="J113"/>
  <c r="O113"/>
  <c r="S113"/>
  <c r="N113"/>
  <c r="N16" i="87"/>
  <c r="O16"/>
  <c r="S16"/>
  <c r="O188" i="86"/>
  <c r="J188"/>
  <c r="N188"/>
  <c r="S188"/>
  <c r="S163"/>
  <c r="O163"/>
  <c r="N163"/>
  <c r="P163"/>
  <c r="J269" i="87"/>
  <c r="O269"/>
  <c r="N269"/>
  <c r="S269"/>
  <c r="N117"/>
  <c r="O117"/>
  <c r="S117"/>
  <c r="J117"/>
  <c r="J66" i="86"/>
  <c r="M65"/>
  <c r="S66"/>
  <c r="N66"/>
  <c r="O66"/>
  <c r="N195"/>
  <c r="S195"/>
  <c r="O195"/>
  <c r="P195"/>
  <c r="N133"/>
  <c r="J133"/>
  <c r="S133"/>
  <c r="O133"/>
  <c r="N169"/>
  <c r="O169"/>
  <c r="P169"/>
  <c r="S169"/>
  <c r="N298" i="87"/>
  <c r="S298"/>
  <c r="O298"/>
  <c r="J209" i="86"/>
  <c r="N209"/>
  <c r="S209"/>
  <c r="O209"/>
  <c r="P146"/>
  <c r="S146"/>
  <c r="O146"/>
  <c r="N146"/>
  <c r="J184" i="87"/>
  <c r="S184"/>
  <c r="O184"/>
  <c r="N184"/>
  <c r="O33" i="86"/>
  <c r="N33"/>
  <c r="J33"/>
  <c r="S33"/>
  <c r="N142"/>
  <c r="S142"/>
  <c r="J142"/>
  <c r="O142"/>
  <c r="N11" i="87"/>
  <c r="P11"/>
  <c r="O11"/>
  <c r="S11"/>
  <c r="M10"/>
  <c r="N246"/>
  <c r="O246"/>
  <c r="P246"/>
  <c r="S246"/>
  <c r="J289" i="86"/>
  <c r="N289"/>
  <c r="O289"/>
  <c r="S289"/>
  <c r="M206" i="87"/>
  <c r="K205"/>
  <c r="K204" s="1"/>
  <c r="K203" s="1"/>
  <c r="K5" s="1"/>
  <c r="N263" i="86"/>
  <c r="J263"/>
  <c r="O263"/>
  <c r="S263"/>
  <c r="O26"/>
  <c r="N26"/>
  <c r="S26"/>
  <c r="P26"/>
  <c r="N262"/>
  <c r="O262"/>
  <c r="S262"/>
  <c r="J262"/>
  <c r="N155" i="87"/>
  <c r="O155"/>
  <c r="J155"/>
  <c r="J154" s="1"/>
  <c r="S155"/>
  <c r="K53" i="86"/>
  <c r="M63"/>
  <c r="S236"/>
  <c r="O236"/>
  <c r="N236"/>
  <c r="J236"/>
  <c r="J171"/>
  <c r="O171"/>
  <c r="S171"/>
  <c r="N171"/>
  <c r="O287" i="87"/>
  <c r="N287"/>
  <c r="S287"/>
  <c r="M286"/>
  <c r="J287"/>
  <c r="N239" i="84"/>
  <c r="N238" s="1"/>
  <c r="N244" i="86"/>
  <c r="S244"/>
  <c r="P244"/>
  <c r="O244"/>
  <c r="J295"/>
  <c r="N295"/>
  <c r="O295"/>
  <c r="S295"/>
  <c r="S139" i="87"/>
  <c r="N139"/>
  <c r="O139"/>
  <c r="J139"/>
  <c r="N86" i="86"/>
  <c r="S86"/>
  <c r="J86"/>
  <c r="O86"/>
  <c r="S24" i="87"/>
  <c r="N24"/>
  <c r="O24"/>
  <c r="N190"/>
  <c r="O190"/>
  <c r="P190"/>
  <c r="S190"/>
  <c r="J20" i="86"/>
  <c r="N20"/>
  <c r="O20"/>
  <c r="S20"/>
  <c r="O162" i="87"/>
  <c r="J162"/>
  <c r="N162"/>
  <c r="S162"/>
  <c r="N27"/>
  <c r="O27"/>
  <c r="S27"/>
  <c r="N87" i="86"/>
  <c r="J87"/>
  <c r="S87"/>
  <c r="O87"/>
  <c r="N196" i="87"/>
  <c r="P196"/>
  <c r="O196"/>
  <c r="S196"/>
  <c r="N24" i="86"/>
  <c r="S24"/>
  <c r="O24"/>
  <c r="J24"/>
  <c r="N210"/>
  <c r="J210"/>
  <c r="S210"/>
  <c r="O210"/>
  <c r="N162"/>
  <c r="O162"/>
  <c r="J162"/>
  <c r="S162"/>
  <c r="J27"/>
  <c r="S27"/>
  <c r="O27"/>
  <c r="N27"/>
  <c r="N142" i="87"/>
  <c r="O142"/>
  <c r="S142"/>
  <c r="J79"/>
  <c r="N79"/>
  <c r="O79"/>
  <c r="S79"/>
  <c r="O296" i="86"/>
  <c r="N296"/>
  <c r="J296"/>
  <c r="S296"/>
  <c r="P165" i="87"/>
  <c r="N165"/>
  <c r="O165"/>
  <c r="S165"/>
  <c r="J143"/>
  <c r="S143"/>
  <c r="O143"/>
  <c r="N143"/>
  <c r="O168"/>
  <c r="N168"/>
  <c r="S168"/>
  <c r="P168"/>
  <c r="S212"/>
  <c r="O212"/>
  <c r="N212"/>
  <c r="J212"/>
  <c r="J183" i="86"/>
  <c r="S183"/>
  <c r="N183"/>
  <c r="O183"/>
  <c r="S121" i="87"/>
  <c r="O121"/>
  <c r="P121"/>
  <c r="N121"/>
  <c r="P11" i="86"/>
  <c r="S11"/>
  <c r="O11"/>
  <c r="N11"/>
  <c r="M10"/>
  <c r="N245"/>
  <c r="S245"/>
  <c r="P245"/>
  <c r="O245"/>
  <c r="N268" i="87"/>
  <c r="S268"/>
  <c r="O268"/>
  <c r="J268"/>
  <c r="S89"/>
  <c r="N89"/>
  <c r="J89"/>
  <c r="O89"/>
  <c r="N88"/>
  <c r="J88"/>
  <c r="S88"/>
  <c r="O88"/>
  <c r="M205" i="86"/>
  <c r="K204"/>
  <c r="K203" s="1"/>
  <c r="K202" s="1"/>
  <c r="K5" s="1"/>
  <c r="N170" i="87"/>
  <c r="O170"/>
  <c r="P170"/>
  <c r="S170"/>
  <c r="N241"/>
  <c r="O241"/>
  <c r="S241"/>
  <c r="P241"/>
  <c r="O155" i="86"/>
  <c r="S155"/>
  <c r="N155"/>
  <c r="J155"/>
  <c r="M154"/>
  <c r="N216" i="87"/>
  <c r="O216"/>
  <c r="S216"/>
  <c r="O23"/>
  <c r="N23"/>
  <c r="S23"/>
  <c r="N285" i="86"/>
  <c r="J285"/>
  <c r="S285"/>
  <c r="M284"/>
  <c r="O285"/>
  <c r="P275" i="84"/>
  <c r="P150"/>
  <c r="L6"/>
  <c r="L5" s="1"/>
  <c r="Q61"/>
  <c r="H216"/>
  <c r="P294"/>
  <c r="Q294"/>
  <c r="T133"/>
  <c r="Q277"/>
  <c r="N293"/>
  <c r="N292" s="1"/>
  <c r="O239"/>
  <c r="Q23"/>
  <c r="M238"/>
  <c r="S238" s="1"/>
  <c r="Q237"/>
  <c r="Q77"/>
  <c r="M100"/>
  <c r="Q67"/>
  <c r="P256"/>
  <c r="Q68"/>
  <c r="T214"/>
  <c r="T173"/>
  <c r="Q254"/>
  <c r="P254"/>
  <c r="T23"/>
  <c r="T237"/>
  <c r="P149"/>
  <c r="Q173"/>
  <c r="J53"/>
  <c r="Q53" s="1"/>
  <c r="J50"/>
  <c r="P50" s="1"/>
  <c r="J293"/>
  <c r="Q293" s="1"/>
  <c r="P133"/>
  <c r="Q71"/>
  <c r="Q149"/>
  <c r="Q102"/>
  <c r="Q215"/>
  <c r="T102"/>
  <c r="Q154"/>
  <c r="T154"/>
  <c r="P90"/>
  <c r="T257"/>
  <c r="P131"/>
  <c r="Q131"/>
  <c r="T131"/>
  <c r="P257"/>
  <c r="J41"/>
  <c r="Q41" s="1"/>
  <c r="T33"/>
  <c r="P138"/>
  <c r="N74"/>
  <c r="Q33"/>
  <c r="Q138"/>
  <c r="Q76"/>
  <c r="S53"/>
  <c r="S214"/>
  <c r="P179"/>
  <c r="P42"/>
  <c r="T285"/>
  <c r="P36"/>
  <c r="Q190"/>
  <c r="J34"/>
  <c r="P34" s="1"/>
  <c r="Q285"/>
  <c r="J48"/>
  <c r="Q48" s="1"/>
  <c r="Q200"/>
  <c r="Q36"/>
  <c r="P215"/>
  <c r="P63"/>
  <c r="Q179"/>
  <c r="P214"/>
  <c r="Q214"/>
  <c r="O214"/>
  <c r="N189"/>
  <c r="N188" s="1"/>
  <c r="T199"/>
  <c r="P199"/>
  <c r="N83"/>
  <c r="S10"/>
  <c r="N10"/>
  <c r="N7" s="1"/>
  <c r="P10"/>
  <c r="N273"/>
  <c r="N265" s="1"/>
  <c r="I216"/>
  <c r="Q124"/>
  <c r="T124"/>
  <c r="I6"/>
  <c r="J7"/>
  <c r="Q7" s="1"/>
  <c r="N249"/>
  <c r="O249"/>
  <c r="S249"/>
  <c r="O248"/>
  <c r="M220"/>
  <c r="S220" s="1"/>
  <c r="N221"/>
  <c r="N220" s="1"/>
  <c r="T226"/>
  <c r="O221"/>
  <c r="N170"/>
  <c r="N169" s="1"/>
  <c r="P127"/>
  <c r="N121"/>
  <c r="N120" s="1"/>
  <c r="N119" s="1"/>
  <c r="T104"/>
  <c r="P110"/>
  <c r="O101"/>
  <c r="Q110"/>
  <c r="P16"/>
  <c r="N14"/>
  <c r="N13" s="1"/>
  <c r="P17"/>
  <c r="Q17"/>
  <c r="T17"/>
  <c r="T31"/>
  <c r="P31"/>
  <c r="Q31"/>
  <c r="P105"/>
  <c r="Q105"/>
  <c r="P22"/>
  <c r="Q22"/>
  <c r="T22"/>
  <c r="T127"/>
  <c r="N101"/>
  <c r="N100" s="1"/>
  <c r="N99" s="1"/>
  <c r="N144"/>
  <c r="N143" s="1"/>
  <c r="Q89"/>
  <c r="Q40"/>
  <c r="T132"/>
  <c r="P116"/>
  <c r="T40"/>
  <c r="T176"/>
  <c r="P132"/>
  <c r="Q116"/>
  <c r="P146"/>
  <c r="P190"/>
  <c r="M7"/>
  <c r="P108"/>
  <c r="Q108"/>
  <c r="T108"/>
  <c r="P176"/>
  <c r="Q137"/>
  <c r="P26"/>
  <c r="S51"/>
  <c r="P111"/>
  <c r="Q111"/>
  <c r="T111"/>
  <c r="P187"/>
  <c r="T187"/>
  <c r="Q187"/>
  <c r="S93"/>
  <c r="M92"/>
  <c r="T129"/>
  <c r="P129"/>
  <c r="Q129"/>
  <c r="P186"/>
  <c r="Q186"/>
  <c r="T186"/>
  <c r="P166"/>
  <c r="Q166"/>
  <c r="P30"/>
  <c r="J39"/>
  <c r="Q39" s="1"/>
  <c r="P137"/>
  <c r="T26"/>
  <c r="S65"/>
  <c r="N34"/>
  <c r="Q104"/>
  <c r="P28"/>
  <c r="Q28"/>
  <c r="T28"/>
  <c r="P86"/>
  <c r="Q86"/>
  <c r="P130"/>
  <c r="Q130"/>
  <c r="P32"/>
  <c r="Q32"/>
  <c r="T32"/>
  <c r="N56"/>
  <c r="P37"/>
  <c r="Q37"/>
  <c r="N52"/>
  <c r="O52"/>
  <c r="S52"/>
  <c r="P189"/>
  <c r="Q189"/>
  <c r="T189"/>
  <c r="J188"/>
  <c r="Q188" s="1"/>
  <c r="Q70"/>
  <c r="N49"/>
  <c r="P125"/>
  <c r="P8"/>
  <c r="T118"/>
  <c r="P118"/>
  <c r="Q118"/>
  <c r="J101"/>
  <c r="J100" s="1"/>
  <c r="M188"/>
  <c r="S189"/>
  <c r="O189"/>
  <c r="T157"/>
  <c r="P157"/>
  <c r="Q157"/>
  <c r="O121"/>
  <c r="M120"/>
  <c r="M119" s="1"/>
  <c r="Q60"/>
  <c r="P60"/>
  <c r="Q87"/>
  <c r="P87"/>
  <c r="P27"/>
  <c r="Q27"/>
  <c r="T27"/>
  <c r="P126"/>
  <c r="Q126"/>
  <c r="Q165"/>
  <c r="P165"/>
  <c r="P159"/>
  <c r="Q159"/>
  <c r="M41"/>
  <c r="O41" s="1"/>
  <c r="O42"/>
  <c r="O97"/>
  <c r="O96" s="1"/>
  <c r="M96"/>
  <c r="S96" s="1"/>
  <c r="P19"/>
  <c r="S56"/>
  <c r="S49"/>
  <c r="N164"/>
  <c r="N163" s="1"/>
  <c r="Q19"/>
  <c r="Q16"/>
  <c r="N53"/>
  <c r="J51"/>
  <c r="Q51" s="1"/>
  <c r="P88"/>
  <c r="N65"/>
  <c r="S8"/>
  <c r="Q228"/>
  <c r="P228"/>
  <c r="T211"/>
  <c r="Q211"/>
  <c r="P211"/>
  <c r="P212"/>
  <c r="T212"/>
  <c r="Q241"/>
  <c r="P241"/>
  <c r="P270"/>
  <c r="Q270"/>
  <c r="T270"/>
  <c r="P287"/>
  <c r="Q287"/>
  <c r="T287"/>
  <c r="P206"/>
  <c r="Q206"/>
  <c r="T206"/>
  <c r="J249"/>
  <c r="P207"/>
  <c r="T207"/>
  <c r="Q291"/>
  <c r="T291"/>
  <c r="P291"/>
  <c r="T205"/>
  <c r="Q205"/>
  <c r="P205"/>
  <c r="P201"/>
  <c r="T201"/>
  <c r="Q201"/>
  <c r="P224"/>
  <c r="P223"/>
  <c r="Q255"/>
  <c r="Q276"/>
  <c r="P197"/>
  <c r="T197"/>
  <c r="P225"/>
  <c r="Q225"/>
  <c r="P230"/>
  <c r="T230"/>
  <c r="Q229"/>
  <c r="T229"/>
  <c r="P229"/>
  <c r="P269"/>
  <c r="Q269"/>
  <c r="Q207"/>
  <c r="Q224"/>
  <c r="T276"/>
  <c r="T293"/>
  <c r="T200"/>
  <c r="P226"/>
  <c r="Q209"/>
  <c r="T209"/>
  <c r="T282"/>
  <c r="P282"/>
  <c r="Q282"/>
  <c r="Q212"/>
  <c r="Q197"/>
  <c r="Q230"/>
  <c r="N194"/>
  <c r="N193" s="1"/>
  <c r="N192" s="1"/>
  <c r="M193"/>
  <c r="S193" s="1"/>
  <c r="O194"/>
  <c r="Q195"/>
  <c r="P195"/>
  <c r="J194"/>
  <c r="Q194" s="1"/>
  <c r="T262"/>
  <c r="Q262"/>
  <c r="P262"/>
  <c r="J121"/>
  <c r="T122"/>
  <c r="P122"/>
  <c r="Q122"/>
  <c r="T106"/>
  <c r="Q106"/>
  <c r="P106"/>
  <c r="T286"/>
  <c r="P286"/>
  <c r="Q286"/>
  <c r="P80"/>
  <c r="Q80"/>
  <c r="Q208"/>
  <c r="T208"/>
  <c r="P208"/>
  <c r="P128"/>
  <c r="Q128"/>
  <c r="T128"/>
  <c r="J97"/>
  <c r="Q98"/>
  <c r="T98"/>
  <c r="P98"/>
  <c r="Q203"/>
  <c r="P203"/>
  <c r="T203"/>
  <c r="Q204"/>
  <c r="T204"/>
  <c r="P204"/>
  <c r="H99"/>
  <c r="S34"/>
  <c r="O34"/>
  <c r="H45"/>
  <c r="S243"/>
  <c r="M242"/>
  <c r="O243"/>
  <c r="T109"/>
  <c r="P109"/>
  <c r="Q109"/>
  <c r="J74"/>
  <c r="T244"/>
  <c r="J243"/>
  <c r="Q244"/>
  <c r="P244"/>
  <c r="J65"/>
  <c r="P66"/>
  <c r="J47"/>
  <c r="Q66"/>
  <c r="P278"/>
  <c r="Q278"/>
  <c r="T278"/>
  <c r="G45"/>
  <c r="N54"/>
  <c r="O54"/>
  <c r="P284"/>
  <c r="Q284"/>
  <c r="T284"/>
  <c r="M99"/>
  <c r="O100"/>
  <c r="M38"/>
  <c r="S39"/>
  <c r="O39"/>
  <c r="P184"/>
  <c r="Q184"/>
  <c r="T184"/>
  <c r="P231"/>
  <c r="Q231"/>
  <c r="T231"/>
  <c r="P283"/>
  <c r="Q283"/>
  <c r="T283"/>
  <c r="P18"/>
  <c r="Q18"/>
  <c r="T18"/>
  <c r="P79"/>
  <c r="Q79"/>
  <c r="P59"/>
  <c r="Q59"/>
  <c r="J49"/>
  <c r="J273"/>
  <c r="J56"/>
  <c r="J52"/>
  <c r="G264"/>
  <c r="P91"/>
  <c r="Q91"/>
  <c r="O144"/>
  <c r="M143"/>
  <c r="T39"/>
  <c r="P155"/>
  <c r="Q155"/>
  <c r="T155"/>
  <c r="O261"/>
  <c r="O260" s="1"/>
  <c r="M260"/>
  <c r="S260" s="1"/>
  <c r="P178"/>
  <c r="Q178"/>
  <c r="T178"/>
  <c r="Q258"/>
  <c r="P258"/>
  <c r="P253"/>
  <c r="Q253"/>
  <c r="P271"/>
  <c r="T271"/>
  <c r="Q271"/>
  <c r="M265"/>
  <c r="O273"/>
  <c r="S273"/>
  <c r="T227"/>
  <c r="P227"/>
  <c r="Q227"/>
  <c r="T21"/>
  <c r="P21"/>
  <c r="Q21"/>
  <c r="G192"/>
  <c r="S213"/>
  <c r="Q148"/>
  <c r="P148"/>
  <c r="M217"/>
  <c r="O218"/>
  <c r="O217" s="1"/>
  <c r="S218"/>
  <c r="T236"/>
  <c r="Q236"/>
  <c r="P236"/>
  <c r="P181"/>
  <c r="Q181"/>
  <c r="T181"/>
  <c r="P82"/>
  <c r="Q82"/>
  <c r="P288"/>
  <c r="Q288"/>
  <c r="S54"/>
  <c r="Q10"/>
  <c r="P94"/>
  <c r="Q94"/>
  <c r="T94"/>
  <c r="J93"/>
  <c r="P72"/>
  <c r="Q72"/>
  <c r="P222"/>
  <c r="Q222"/>
  <c r="T222"/>
  <c r="J221"/>
  <c r="J220" s="1"/>
  <c r="P64"/>
  <c r="Q64"/>
  <c r="J54"/>
  <c r="O50"/>
  <c r="S50"/>
  <c r="N50"/>
  <c r="J144"/>
  <c r="S139"/>
  <c r="T281"/>
  <c r="Q281"/>
  <c r="P281"/>
  <c r="P289"/>
  <c r="Q289"/>
  <c r="T289"/>
  <c r="P198"/>
  <c r="Q198"/>
  <c r="P167"/>
  <c r="Q167"/>
  <c r="J164"/>
  <c r="O164"/>
  <c r="S164"/>
  <c r="M163"/>
  <c r="S163" s="1"/>
  <c r="Q246"/>
  <c r="T246"/>
  <c r="P246"/>
  <c r="J245"/>
  <c r="P151"/>
  <c r="Q151"/>
  <c r="T151"/>
  <c r="M46"/>
  <c r="S46" s="1"/>
  <c r="O47"/>
  <c r="M292"/>
  <c r="S292" s="1"/>
  <c r="O293"/>
  <c r="P29"/>
  <c r="Q29"/>
  <c r="T29"/>
  <c r="O170"/>
  <c r="M169"/>
  <c r="S170"/>
  <c r="P95"/>
  <c r="Q95"/>
  <c r="P103"/>
  <c r="Q103"/>
  <c r="Q107"/>
  <c r="T107"/>
  <c r="P107"/>
  <c r="Q112"/>
  <c r="T112"/>
  <c r="P112"/>
  <c r="P158"/>
  <c r="Q158"/>
  <c r="T158"/>
  <c r="N47"/>
  <c r="N51"/>
  <c r="T10"/>
  <c r="S100"/>
  <c r="S267"/>
  <c r="J267"/>
  <c r="M266"/>
  <c r="O267"/>
  <c r="N267"/>
  <c r="N266" s="1"/>
  <c r="O14"/>
  <c r="M13"/>
  <c r="O48"/>
  <c r="S48"/>
  <c r="N48"/>
  <c r="P156"/>
  <c r="Q156"/>
  <c r="T156"/>
  <c r="P161"/>
  <c r="Q161"/>
  <c r="T161"/>
  <c r="Q117"/>
  <c r="T117"/>
  <c r="P117"/>
  <c r="T171"/>
  <c r="J170"/>
  <c r="P171"/>
  <c r="Q171"/>
  <c r="Q295"/>
  <c r="P295"/>
  <c r="J239"/>
  <c r="Q240"/>
  <c r="P240"/>
  <c r="Q15"/>
  <c r="T15"/>
  <c r="P15"/>
  <c r="J14"/>
  <c r="Q219"/>
  <c r="P219"/>
  <c r="J218"/>
  <c r="Q213"/>
  <c r="J83"/>
  <c r="P103" i="83"/>
  <c r="P104"/>
  <c r="P105"/>
  <c r="P106"/>
  <c r="P108"/>
  <c r="P110"/>
  <c r="T115"/>
  <c r="M56" i="87" l="1"/>
  <c r="N154"/>
  <c r="N153" s="1"/>
  <c r="N152" s="1"/>
  <c r="N181"/>
  <c r="N180" s="1"/>
  <c r="N179" s="1"/>
  <c r="N74" i="86"/>
  <c r="N284"/>
  <c r="N276" s="1"/>
  <c r="N275" s="1"/>
  <c r="N10" i="87"/>
  <c r="N7" s="1"/>
  <c r="N131"/>
  <c r="N130" s="1"/>
  <c r="N129" s="1"/>
  <c r="N10" i="86"/>
  <c r="N7" s="1"/>
  <c r="T183"/>
  <c r="P183"/>
  <c r="Q183"/>
  <c r="P91" i="87"/>
  <c r="Q91"/>
  <c r="T210" i="86"/>
  <c r="Q210"/>
  <c r="P210"/>
  <c r="P191" i="87"/>
  <c r="T191"/>
  <c r="Q191"/>
  <c r="Q21"/>
  <c r="P21"/>
  <c r="T21"/>
  <c r="P296" i="86"/>
  <c r="T296"/>
  <c r="Q296"/>
  <c r="P171"/>
  <c r="T171"/>
  <c r="Q171"/>
  <c r="P142"/>
  <c r="T142"/>
  <c r="Q142"/>
  <c r="T117" i="87"/>
  <c r="P117"/>
  <c r="Q117"/>
  <c r="P113"/>
  <c r="T113"/>
  <c r="Q113"/>
  <c r="Q250"/>
  <c r="T250"/>
  <c r="P250"/>
  <c r="P158" i="86"/>
  <c r="Q158"/>
  <c r="Q303" i="87"/>
  <c r="P303"/>
  <c r="T303"/>
  <c r="Q132" i="86"/>
  <c r="T132"/>
  <c r="P132"/>
  <c r="J131"/>
  <c r="P134" i="87"/>
  <c r="Q134"/>
  <c r="T134"/>
  <c r="Q266"/>
  <c r="P266"/>
  <c r="P128"/>
  <c r="Q128"/>
  <c r="T128"/>
  <c r="T222"/>
  <c r="Q222"/>
  <c r="P222"/>
  <c r="P89"/>
  <c r="Q89"/>
  <c r="Q268" i="86"/>
  <c r="P268"/>
  <c r="T268"/>
  <c r="Q128"/>
  <c r="T128"/>
  <c r="P128"/>
  <c r="P77" i="87"/>
  <c r="Q77"/>
  <c r="P68"/>
  <c r="Q68"/>
  <c r="Q167" i="86"/>
  <c r="P167"/>
  <c r="T167"/>
  <c r="P239" i="87"/>
  <c r="Q239"/>
  <c r="N131" i="86"/>
  <c r="N130" s="1"/>
  <c r="N129" s="1"/>
  <c r="N110"/>
  <c r="N109" s="1"/>
  <c r="N108" s="1"/>
  <c r="P268" i="87"/>
  <c r="Q268"/>
  <c r="S54"/>
  <c r="O54"/>
  <c r="Q111" i="86"/>
  <c r="T111"/>
  <c r="P111"/>
  <c r="J110"/>
  <c r="Q162" i="87"/>
  <c r="P162"/>
  <c r="T162"/>
  <c r="T138" i="86"/>
  <c r="P138"/>
  <c r="Q138"/>
  <c r="T214" i="87"/>
  <c r="Q214"/>
  <c r="P214"/>
  <c r="T136" i="86"/>
  <c r="Q136"/>
  <c r="P136"/>
  <c r="Q215" i="87"/>
  <c r="T215"/>
  <c r="P215"/>
  <c r="P246" i="86"/>
  <c r="T246"/>
  <c r="Q246"/>
  <c r="P300" i="87"/>
  <c r="T300"/>
  <c r="Q300"/>
  <c r="Q264" i="86"/>
  <c r="P264"/>
  <c r="Q287"/>
  <c r="P287"/>
  <c r="T287"/>
  <c r="J154"/>
  <c r="T155"/>
  <c r="Q155"/>
  <c r="P155"/>
  <c r="T298" i="87"/>
  <c r="Q298"/>
  <c r="P298"/>
  <c r="T20"/>
  <c r="P20"/>
  <c r="Q20"/>
  <c r="J58"/>
  <c r="N58"/>
  <c r="N48" s="1"/>
  <c r="S58"/>
  <c r="M48"/>
  <c r="O58"/>
  <c r="P90"/>
  <c r="Q90"/>
  <c r="Q84" i="86"/>
  <c r="J83"/>
  <c r="P84"/>
  <c r="T217" i="87"/>
  <c r="Q217"/>
  <c r="P217"/>
  <c r="S154" i="86"/>
  <c r="M153"/>
  <c r="O154"/>
  <c r="P139" i="87"/>
  <c r="T139"/>
  <c r="Q139"/>
  <c r="Q66" i="86"/>
  <c r="P66"/>
  <c r="J65"/>
  <c r="T16" i="87"/>
  <c r="P16"/>
  <c r="Q16"/>
  <c r="P117" i="86"/>
  <c r="T117"/>
  <c r="Q117"/>
  <c r="P297" i="87"/>
  <c r="T297"/>
  <c r="Q297"/>
  <c r="T296"/>
  <c r="Q296"/>
  <c r="P296"/>
  <c r="T240"/>
  <c r="Q240"/>
  <c r="P240"/>
  <c r="S232" i="86"/>
  <c r="O232"/>
  <c r="M231"/>
  <c r="J232"/>
  <c r="N232"/>
  <c r="M13"/>
  <c r="O14"/>
  <c r="S14"/>
  <c r="Q218" i="87"/>
  <c r="P218"/>
  <c r="T218"/>
  <c r="S106"/>
  <c r="M105"/>
  <c r="P106"/>
  <c r="O106"/>
  <c r="O105" s="1"/>
  <c r="Q216"/>
  <c r="T216"/>
  <c r="P216"/>
  <c r="P209" i="86"/>
  <c r="Q209"/>
  <c r="T209"/>
  <c r="S65"/>
  <c r="O65"/>
  <c r="Q211" i="87"/>
  <c r="T211"/>
  <c r="P211"/>
  <c r="P158"/>
  <c r="Q158"/>
  <c r="P269" i="86"/>
  <c r="Q269"/>
  <c r="T115"/>
  <c r="Q115"/>
  <c r="P115"/>
  <c r="T23"/>
  <c r="Q23"/>
  <c r="P23"/>
  <c r="P25"/>
  <c r="Q25"/>
  <c r="T25"/>
  <c r="T173" i="87"/>
  <c r="Q173"/>
  <c r="P173"/>
  <c r="Q184" i="86"/>
  <c r="P184"/>
  <c r="Q288"/>
  <c r="P288"/>
  <c r="J10"/>
  <c r="T12"/>
  <c r="Q12"/>
  <c r="P12"/>
  <c r="P88"/>
  <c r="Q88"/>
  <c r="M109"/>
  <c r="S110"/>
  <c r="O110"/>
  <c r="P236" i="87"/>
  <c r="Q236"/>
  <c r="P286" i="86"/>
  <c r="Q286"/>
  <c r="N154"/>
  <c r="N153" s="1"/>
  <c r="N152" s="1"/>
  <c r="N14"/>
  <c r="N13" s="1"/>
  <c r="Q24" i="87"/>
  <c r="P24"/>
  <c r="T24"/>
  <c r="T247"/>
  <c r="Q247"/>
  <c r="P247"/>
  <c r="P69"/>
  <c r="Q69"/>
  <c r="Q69" i="86"/>
  <c r="P69"/>
  <c r="T159" i="87"/>
  <c r="Q159"/>
  <c r="P159"/>
  <c r="P85"/>
  <c r="Q85"/>
  <c r="Q112"/>
  <c r="P112"/>
  <c r="S232"/>
  <c r="N232"/>
  <c r="N231" s="1"/>
  <c r="O232"/>
  <c r="M231"/>
  <c r="T27"/>
  <c r="P27"/>
  <c r="Q27"/>
  <c r="T207" i="86"/>
  <c r="Q207"/>
  <c r="P207"/>
  <c r="Q248"/>
  <c r="T248"/>
  <c r="P248"/>
  <c r="P80"/>
  <c r="Q80"/>
  <c r="T208" i="87"/>
  <c r="Q208"/>
  <c r="P208"/>
  <c r="P76"/>
  <c r="Q76"/>
  <c r="P70"/>
  <c r="Q70"/>
  <c r="M254" i="86"/>
  <c r="N255"/>
  <c r="N254" s="1"/>
  <c r="O255"/>
  <c r="S255"/>
  <c r="J255"/>
  <c r="Q265"/>
  <c r="P265"/>
  <c r="M52"/>
  <c r="J62"/>
  <c r="S62"/>
  <c r="O62"/>
  <c r="N62"/>
  <c r="N52" s="1"/>
  <c r="P84" i="87"/>
  <c r="Q84"/>
  <c r="J83"/>
  <c r="P88"/>
  <c r="Q88"/>
  <c r="P162" i="86"/>
  <c r="Q162"/>
  <c r="T162"/>
  <c r="Q86"/>
  <c r="P86"/>
  <c r="Q143"/>
  <c r="T143"/>
  <c r="P143"/>
  <c r="K262" i="87"/>
  <c r="K261" s="1"/>
  <c r="K255" s="1"/>
  <c r="M263"/>
  <c r="Q214" i="86"/>
  <c r="T214"/>
  <c r="P214"/>
  <c r="Q302"/>
  <c r="P302"/>
  <c r="T302"/>
  <c r="P211"/>
  <c r="Q211"/>
  <c r="T211"/>
  <c r="T182" i="87"/>
  <c r="P182"/>
  <c r="Q182"/>
  <c r="J181"/>
  <c r="T292" i="86"/>
  <c r="Q292"/>
  <c r="P292"/>
  <c r="N65" i="87"/>
  <c r="O83" i="86"/>
  <c r="N83"/>
  <c r="P267" i="87"/>
  <c r="Q267"/>
  <c r="M7" i="86"/>
  <c r="O10"/>
  <c r="S10"/>
  <c r="Q80" i="87"/>
  <c r="P80"/>
  <c r="Q270"/>
  <c r="P270"/>
  <c r="T270"/>
  <c r="T236" i="86"/>
  <c r="P236"/>
  <c r="Q236"/>
  <c r="N58"/>
  <c r="N48" s="1"/>
  <c r="M48"/>
  <c r="J58"/>
  <c r="S58"/>
  <c r="O58"/>
  <c r="T120" i="87"/>
  <c r="Q120"/>
  <c r="P120"/>
  <c r="T15" i="86"/>
  <c r="Q15"/>
  <c r="P15"/>
  <c r="J14"/>
  <c r="Q135" i="87"/>
  <c r="P135"/>
  <c r="P112" i="86"/>
  <c r="Q112"/>
  <c r="S14" i="87"/>
  <c r="M13"/>
  <c r="O14"/>
  <c r="Q82" i="86"/>
  <c r="P82"/>
  <c r="T221"/>
  <c r="Q221"/>
  <c r="P221"/>
  <c r="Q238"/>
  <c r="P238"/>
  <c r="Q72"/>
  <c r="P72"/>
  <c r="T33" i="87"/>
  <c r="P33"/>
  <c r="Q33"/>
  <c r="P116" i="86"/>
  <c r="T116"/>
  <c r="Q116"/>
  <c r="Q206"/>
  <c r="P206"/>
  <c r="S131"/>
  <c r="M130"/>
  <c r="O131"/>
  <c r="Q15" i="87"/>
  <c r="P15"/>
  <c r="J14"/>
  <c r="T15"/>
  <c r="T192" i="86"/>
  <c r="Q192"/>
  <c r="P192"/>
  <c r="J63" i="87"/>
  <c r="S63"/>
  <c r="O63"/>
  <c r="N63"/>
  <c r="N53" s="1"/>
  <c r="M53"/>
  <c r="Q16" i="86"/>
  <c r="T16"/>
  <c r="P16"/>
  <c r="J65" i="87"/>
  <c r="P66"/>
  <c r="Q66"/>
  <c r="P86"/>
  <c r="Q86"/>
  <c r="Q182" i="86"/>
  <c r="P182"/>
  <c r="P166" i="87"/>
  <c r="Q166"/>
  <c r="T166"/>
  <c r="K260" i="86"/>
  <c r="K259" s="1"/>
  <c r="K253" s="1"/>
  <c r="M261"/>
  <c r="P22"/>
  <c r="T22"/>
  <c r="Q22"/>
  <c r="T293"/>
  <c r="P293"/>
  <c r="Q293"/>
  <c r="Q19" i="87"/>
  <c r="P19"/>
  <c r="T19"/>
  <c r="T198"/>
  <c r="P198"/>
  <c r="Q198"/>
  <c r="O181"/>
  <c r="M180"/>
  <c r="M179" s="1"/>
  <c r="S181"/>
  <c r="P73" i="86"/>
  <c r="Q73"/>
  <c r="T291"/>
  <c r="Q291"/>
  <c r="P291"/>
  <c r="T147" i="87"/>
  <c r="Q147"/>
  <c r="P147"/>
  <c r="N65" i="86"/>
  <c r="N180"/>
  <c r="N179" s="1"/>
  <c r="N178" s="1"/>
  <c r="Q263"/>
  <c r="P263"/>
  <c r="Q212"/>
  <c r="T212"/>
  <c r="P212"/>
  <c r="P9"/>
  <c r="J8"/>
  <c r="T9"/>
  <c r="Q9"/>
  <c r="Q126" i="87"/>
  <c r="P126"/>
  <c r="T126"/>
  <c r="Q157"/>
  <c r="P157"/>
  <c r="T157"/>
  <c r="P143"/>
  <c r="T143"/>
  <c r="Q143"/>
  <c r="T27" i="86"/>
  <c r="Q27"/>
  <c r="P27"/>
  <c r="O10" i="87"/>
  <c r="S10"/>
  <c r="P188" i="86"/>
  <c r="Q188"/>
  <c r="T188"/>
  <c r="S65" i="87"/>
  <c r="O65"/>
  <c r="P71" i="86"/>
  <c r="Q71"/>
  <c r="T294" i="87"/>
  <c r="Q294"/>
  <c r="P294"/>
  <c r="Q222" i="86"/>
  <c r="T222"/>
  <c r="P222"/>
  <c r="T187" i="87"/>
  <c r="Q187"/>
  <c r="P187"/>
  <c r="O60" i="86"/>
  <c r="N60"/>
  <c r="N50" s="1"/>
  <c r="S60"/>
  <c r="J60"/>
  <c r="M50"/>
  <c r="Q156"/>
  <c r="P156"/>
  <c r="P290" i="87"/>
  <c r="Q290"/>
  <c r="M179" i="86"/>
  <c r="O180"/>
  <c r="S180"/>
  <c r="Q160" i="87"/>
  <c r="T160"/>
  <c r="P160"/>
  <c r="Q235" i="86"/>
  <c r="P235"/>
  <c r="P23" i="87"/>
  <c r="Q23"/>
  <c r="T23"/>
  <c r="J205" i="86"/>
  <c r="N205"/>
  <c r="N204" s="1"/>
  <c r="N203" s="1"/>
  <c r="N202" s="1"/>
  <c r="S205"/>
  <c r="O205"/>
  <c r="M204"/>
  <c r="P87"/>
  <c r="Q87"/>
  <c r="S286" i="87"/>
  <c r="O286"/>
  <c r="M278"/>
  <c r="N237"/>
  <c r="J237"/>
  <c r="J232" s="1"/>
  <c r="S237"/>
  <c r="O237"/>
  <c r="P67" i="86"/>
  <c r="Q67"/>
  <c r="Q189" i="87"/>
  <c r="P189"/>
  <c r="T189"/>
  <c r="P292"/>
  <c r="T292"/>
  <c r="Q292"/>
  <c r="O52"/>
  <c r="S52"/>
  <c r="P91" i="86"/>
  <c r="Q91"/>
  <c r="T213" i="87"/>
  <c r="Q213"/>
  <c r="P213"/>
  <c r="T300" i="86"/>
  <c r="P300"/>
  <c r="Q300"/>
  <c r="T235" i="87"/>
  <c r="Q235"/>
  <c r="P235"/>
  <c r="P242" i="86"/>
  <c r="T242"/>
  <c r="Q242"/>
  <c r="P106"/>
  <c r="S106"/>
  <c r="O106"/>
  <c r="O105" s="1"/>
  <c r="M105"/>
  <c r="T181"/>
  <c r="J180"/>
  <c r="Q181"/>
  <c r="P181"/>
  <c r="J110" i="87"/>
  <c r="T111"/>
  <c r="Q111"/>
  <c r="P111"/>
  <c r="Q135" i="86"/>
  <c r="P135"/>
  <c r="S59"/>
  <c r="O59"/>
  <c r="N59"/>
  <c r="N49" s="1"/>
  <c r="J59"/>
  <c r="M49"/>
  <c r="P293" i="87"/>
  <c r="Q293"/>
  <c r="T293"/>
  <c r="T287"/>
  <c r="P287"/>
  <c r="J286"/>
  <c r="Q287"/>
  <c r="P262" i="86"/>
  <c r="Q262"/>
  <c r="T171" i="87"/>
  <c r="P171"/>
  <c r="Q171"/>
  <c r="Q133"/>
  <c r="P133"/>
  <c r="P71"/>
  <c r="Q71"/>
  <c r="T239" i="86"/>
  <c r="Q239"/>
  <c r="P239"/>
  <c r="Q234" i="87"/>
  <c r="P234"/>
  <c r="M51" i="86"/>
  <c r="O61"/>
  <c r="S61"/>
  <c r="J61"/>
  <c r="N61"/>
  <c r="N51" s="1"/>
  <c r="Q185" i="87"/>
  <c r="P185"/>
  <c r="P215" i="86"/>
  <c r="Q215"/>
  <c r="T215"/>
  <c r="P75"/>
  <c r="Q75"/>
  <c r="J74"/>
  <c r="Q77"/>
  <c r="P77"/>
  <c r="S110" i="87"/>
  <c r="M109"/>
  <c r="O110"/>
  <c r="N205"/>
  <c r="N204" s="1"/>
  <c r="N203" s="1"/>
  <c r="O83"/>
  <c r="N109"/>
  <c r="N108" s="1"/>
  <c r="N14"/>
  <c r="N13" s="1"/>
  <c r="N83"/>
  <c r="J284" i="86"/>
  <c r="T285"/>
  <c r="Q285"/>
  <c r="P285"/>
  <c r="T142" i="87"/>
  <c r="P142"/>
  <c r="Q142"/>
  <c r="P155"/>
  <c r="Q155"/>
  <c r="T155"/>
  <c r="P289" i="86"/>
  <c r="T289"/>
  <c r="Q289"/>
  <c r="Q133"/>
  <c r="P133"/>
  <c r="Q87" i="87"/>
  <c r="P87"/>
  <c r="P267" i="86"/>
  <c r="Q267"/>
  <c r="T210" i="87"/>
  <c r="Q210"/>
  <c r="P210"/>
  <c r="P118"/>
  <c r="T118"/>
  <c r="Q118"/>
  <c r="T237" i="86"/>
  <c r="P237"/>
  <c r="Q237"/>
  <c r="Q120"/>
  <c r="P120"/>
  <c r="T120"/>
  <c r="M256" i="87"/>
  <c r="J257"/>
  <c r="N257"/>
  <c r="N256" s="1"/>
  <c r="S257"/>
  <c r="O257"/>
  <c r="T157" i="86"/>
  <c r="Q157"/>
  <c r="P157"/>
  <c r="T297"/>
  <c r="Q297"/>
  <c r="P297"/>
  <c r="Q156" i="87"/>
  <c r="P156"/>
  <c r="T22"/>
  <c r="Q22"/>
  <c r="P22"/>
  <c r="T295"/>
  <c r="Q295"/>
  <c r="P295"/>
  <c r="P209"/>
  <c r="Q209"/>
  <c r="Q172" i="86"/>
  <c r="T172"/>
  <c r="P172"/>
  <c r="P167" i="87"/>
  <c r="Q167"/>
  <c r="T167"/>
  <c r="N286"/>
  <c r="N278" s="1"/>
  <c r="N277" s="1"/>
  <c r="Q184"/>
  <c r="P184"/>
  <c r="T184"/>
  <c r="Q288"/>
  <c r="P288"/>
  <c r="P137" i="86"/>
  <c r="Q137"/>
  <c r="T137"/>
  <c r="P223" i="87"/>
  <c r="Q223"/>
  <c r="T223"/>
  <c r="Q299"/>
  <c r="T299"/>
  <c r="P299"/>
  <c r="P291"/>
  <c r="Q291"/>
  <c r="T291"/>
  <c r="T18"/>
  <c r="Q18"/>
  <c r="P18"/>
  <c r="P294" i="86"/>
  <c r="T294"/>
  <c r="Q294"/>
  <c r="T136" i="87"/>
  <c r="Q136"/>
  <c r="P136"/>
  <c r="T164" i="86"/>
  <c r="Q164"/>
  <c r="P164"/>
  <c r="T161"/>
  <c r="Q161"/>
  <c r="P161"/>
  <c r="T17"/>
  <c r="Q17"/>
  <c r="P17"/>
  <c r="P241"/>
  <c r="T241"/>
  <c r="Q241"/>
  <c r="S284"/>
  <c r="O284"/>
  <c r="M276"/>
  <c r="S154" i="87"/>
  <c r="M153"/>
  <c r="O154"/>
  <c r="Q67"/>
  <c r="P67"/>
  <c r="T138"/>
  <c r="Q138"/>
  <c r="P138"/>
  <c r="T9"/>
  <c r="Q9"/>
  <c r="J8"/>
  <c r="P9"/>
  <c r="T137"/>
  <c r="Q137"/>
  <c r="P137"/>
  <c r="T160" i="86"/>
  <c r="Q160"/>
  <c r="P160"/>
  <c r="N82" i="87"/>
  <c r="N54" s="1"/>
  <c r="S82"/>
  <c r="J82"/>
  <c r="J74" s="1"/>
  <c r="O82"/>
  <c r="J61"/>
  <c r="M51"/>
  <c r="O61"/>
  <c r="S61"/>
  <c r="N61"/>
  <c r="N51" s="1"/>
  <c r="P21" i="86"/>
  <c r="T21"/>
  <c r="Q21"/>
  <c r="T122"/>
  <c r="P122"/>
  <c r="Q122"/>
  <c r="T32" i="87"/>
  <c r="Q32"/>
  <c r="P32"/>
  <c r="Q114"/>
  <c r="P114"/>
  <c r="J59"/>
  <c r="N59"/>
  <c r="N49" s="1"/>
  <c r="M49"/>
  <c r="S59"/>
  <c r="O59"/>
  <c r="Q139" i="86"/>
  <c r="P139"/>
  <c r="T139"/>
  <c r="P265" i="87"/>
  <c r="Q265"/>
  <c r="T238"/>
  <c r="Q238"/>
  <c r="P238"/>
  <c r="Q217" i="86"/>
  <c r="T217"/>
  <c r="P217"/>
  <c r="Q132" i="87"/>
  <c r="P132"/>
  <c r="J131"/>
  <c r="T132"/>
  <c r="T197"/>
  <c r="Q197"/>
  <c r="P197"/>
  <c r="P234" i="86"/>
  <c r="T234"/>
  <c r="Q234"/>
  <c r="P89"/>
  <c r="Q89"/>
  <c r="Q12" i="87"/>
  <c r="P12"/>
  <c r="J10"/>
  <c r="T12"/>
  <c r="P70" i="86"/>
  <c r="Q70"/>
  <c r="Q78" i="87"/>
  <c r="P78"/>
  <c r="T147" i="86"/>
  <c r="Q147"/>
  <c r="P147"/>
  <c r="P269" i="87"/>
  <c r="Q269"/>
  <c r="P190" i="86"/>
  <c r="Q190"/>
  <c r="T190"/>
  <c r="Q233"/>
  <c r="P233"/>
  <c r="Q208"/>
  <c r="P208"/>
  <c r="T20"/>
  <c r="P20"/>
  <c r="Q20"/>
  <c r="Q76"/>
  <c r="P76"/>
  <c r="P193" i="87"/>
  <c r="Q193"/>
  <c r="T193"/>
  <c r="S8"/>
  <c r="M7"/>
  <c r="O8"/>
  <c r="O63" i="86"/>
  <c r="M53"/>
  <c r="J63"/>
  <c r="S63"/>
  <c r="N63"/>
  <c r="N53" s="1"/>
  <c r="N206" i="87"/>
  <c r="S206"/>
  <c r="O206"/>
  <c r="M205"/>
  <c r="Q186"/>
  <c r="P186"/>
  <c r="T186"/>
  <c r="T213" i="86"/>
  <c r="Q213"/>
  <c r="P213"/>
  <c r="P81" i="87"/>
  <c r="Q81"/>
  <c r="P90" i="86"/>
  <c r="Q90"/>
  <c r="T233" i="87"/>
  <c r="Q233"/>
  <c r="P233"/>
  <c r="J62"/>
  <c r="N62"/>
  <c r="N52" s="1"/>
  <c r="S62"/>
  <c r="O62"/>
  <c r="P33" i="86"/>
  <c r="Q33"/>
  <c r="T33"/>
  <c r="P185"/>
  <c r="T185"/>
  <c r="Q185"/>
  <c r="Q264" i="87"/>
  <c r="P264"/>
  <c r="P118" i="86"/>
  <c r="T118"/>
  <c r="Q118"/>
  <c r="Q290"/>
  <c r="P290"/>
  <c r="T290"/>
  <c r="T159"/>
  <c r="Q159"/>
  <c r="P159"/>
  <c r="T301"/>
  <c r="Q301"/>
  <c r="P301"/>
  <c r="S8"/>
  <c r="O8"/>
  <c r="P302" i="87"/>
  <c r="T302"/>
  <c r="Q302"/>
  <c r="P78" i="86"/>
  <c r="Q78"/>
  <c r="Q25" i="87"/>
  <c r="T25"/>
  <c r="P25"/>
  <c r="P79" i="86"/>
  <c r="Q79"/>
  <c r="T298"/>
  <c r="Q298"/>
  <c r="P298"/>
  <c r="Q85"/>
  <c r="P85"/>
  <c r="P72" i="87"/>
  <c r="Q72"/>
  <c r="Q126" i="86"/>
  <c r="P126"/>
  <c r="T126"/>
  <c r="S199"/>
  <c r="P199"/>
  <c r="O199"/>
  <c r="M198"/>
  <c r="S200" i="87"/>
  <c r="M199"/>
  <c r="O200"/>
  <c r="P200"/>
  <c r="P250" i="84"/>
  <c r="S74" i="87"/>
  <c r="T17"/>
  <c r="Q17"/>
  <c r="P17"/>
  <c r="T188"/>
  <c r="Q188"/>
  <c r="P188"/>
  <c r="P271"/>
  <c r="Q271"/>
  <c r="S131"/>
  <c r="M130"/>
  <c r="O131"/>
  <c r="P114" i="86"/>
  <c r="Q114"/>
  <c r="T186"/>
  <c r="P186"/>
  <c r="Q186"/>
  <c r="P243" i="87"/>
  <c r="T243"/>
  <c r="Q243"/>
  <c r="S60"/>
  <c r="N60"/>
  <c r="N50" s="1"/>
  <c r="J60"/>
  <c r="O60"/>
  <c r="M50"/>
  <c r="Q216" i="86"/>
  <c r="T216"/>
  <c r="P216"/>
  <c r="T134"/>
  <c r="P134"/>
  <c r="Q134"/>
  <c r="S57" i="87"/>
  <c r="J57"/>
  <c r="M47"/>
  <c r="N57"/>
  <c r="O57"/>
  <c r="P207"/>
  <c r="Q207"/>
  <c r="Q242"/>
  <c r="T242"/>
  <c r="P242"/>
  <c r="P197" i="86"/>
  <c r="T197"/>
  <c r="Q197"/>
  <c r="Q196"/>
  <c r="T196"/>
  <c r="P196"/>
  <c r="Q75" i="87"/>
  <c r="P75"/>
  <c r="Q68" i="86"/>
  <c r="P68"/>
  <c r="P79" i="87"/>
  <c r="Q79"/>
  <c r="Q295" i="86"/>
  <c r="T295"/>
  <c r="P295"/>
  <c r="M47"/>
  <c r="O57"/>
  <c r="J57"/>
  <c r="N57"/>
  <c r="M56"/>
  <c r="S57"/>
  <c r="Q161" i="87"/>
  <c r="P161"/>
  <c r="T161"/>
  <c r="P28"/>
  <c r="T28"/>
  <c r="Q28"/>
  <c r="T187" i="86"/>
  <c r="Q187"/>
  <c r="P187"/>
  <c r="Q166"/>
  <c r="T166"/>
  <c r="P166"/>
  <c r="T116" i="87"/>
  <c r="Q116"/>
  <c r="P116"/>
  <c r="Q183"/>
  <c r="P183"/>
  <c r="P266" i="86"/>
  <c r="Q266"/>
  <c r="Q64" i="87"/>
  <c r="P64"/>
  <c r="T19" i="86"/>
  <c r="Q19"/>
  <c r="P19"/>
  <c r="Q212" i="87"/>
  <c r="P212"/>
  <c r="T212"/>
  <c r="P24" i="86"/>
  <c r="T24"/>
  <c r="Q24"/>
  <c r="T113"/>
  <c r="P113"/>
  <c r="Q113"/>
  <c r="T18"/>
  <c r="Q18"/>
  <c r="P18"/>
  <c r="Q81"/>
  <c r="P81"/>
  <c r="M54"/>
  <c r="J64"/>
  <c r="N64"/>
  <c r="N54" s="1"/>
  <c r="S64"/>
  <c r="O64"/>
  <c r="T115" i="87"/>
  <c r="P115"/>
  <c r="Q115"/>
  <c r="P304"/>
  <c r="T304"/>
  <c r="Q304"/>
  <c r="P164"/>
  <c r="Q164"/>
  <c r="T164"/>
  <c r="P289"/>
  <c r="Q289"/>
  <c r="T289"/>
  <c r="Q28" i="86"/>
  <c r="T28"/>
  <c r="P28"/>
  <c r="T32"/>
  <c r="P32"/>
  <c r="Q32"/>
  <c r="T122" i="87"/>
  <c r="P122"/>
  <c r="Q122"/>
  <c r="P73"/>
  <c r="Q73"/>
  <c r="Q50" i="84"/>
  <c r="Q249"/>
  <c r="J248"/>
  <c r="J242" s="1"/>
  <c r="J292"/>
  <c r="Q292" s="1"/>
  <c r="P293"/>
  <c r="P53"/>
  <c r="N264"/>
  <c r="J38"/>
  <c r="Q38" s="1"/>
  <c r="P39"/>
  <c r="N248"/>
  <c r="N242" s="1"/>
  <c r="N216" s="1"/>
  <c r="T249"/>
  <c r="T34"/>
  <c r="Q34"/>
  <c r="P48"/>
  <c r="N142"/>
  <c r="N168"/>
  <c r="I5"/>
  <c r="P7"/>
  <c r="S248"/>
  <c r="P249"/>
  <c r="O220"/>
  <c r="Q101"/>
  <c r="O7"/>
  <c r="O119"/>
  <c r="S119"/>
  <c r="P188"/>
  <c r="S188"/>
  <c r="S7"/>
  <c r="O92"/>
  <c r="S92"/>
  <c r="T101"/>
  <c r="S41"/>
  <c r="P41"/>
  <c r="P101"/>
  <c r="S120"/>
  <c r="O120"/>
  <c r="P51"/>
  <c r="P194"/>
  <c r="M192"/>
  <c r="O192" s="1"/>
  <c r="J193"/>
  <c r="T193" s="1"/>
  <c r="O193"/>
  <c r="T194"/>
  <c r="G44"/>
  <c r="P83"/>
  <c r="Q83"/>
  <c r="P100"/>
  <c r="J99"/>
  <c r="T100"/>
  <c r="T93"/>
  <c r="J92"/>
  <c r="P93"/>
  <c r="Q93"/>
  <c r="O266"/>
  <c r="S266"/>
  <c r="P74"/>
  <c r="Q74"/>
  <c r="O143"/>
  <c r="M142"/>
  <c r="S143"/>
  <c r="T38"/>
  <c r="Q245"/>
  <c r="P245"/>
  <c r="T245"/>
  <c r="O99"/>
  <c r="S99"/>
  <c r="P14"/>
  <c r="J13"/>
  <c r="Q14"/>
  <c r="T14"/>
  <c r="O242"/>
  <c r="S242"/>
  <c r="P97"/>
  <c r="T97"/>
  <c r="J96"/>
  <c r="Q97"/>
  <c r="P121"/>
  <c r="T121"/>
  <c r="J120"/>
  <c r="Q121"/>
  <c r="Q99"/>
  <c r="M264"/>
  <c r="O264" s="1"/>
  <c r="O265"/>
  <c r="S265"/>
  <c r="O38"/>
  <c r="S38"/>
  <c r="Q100"/>
  <c r="M168"/>
  <c r="O169"/>
  <c r="S169"/>
  <c r="T170"/>
  <c r="P170"/>
  <c r="J169"/>
  <c r="Q170"/>
  <c r="O13"/>
  <c r="S13"/>
  <c r="T239"/>
  <c r="J238"/>
  <c r="P239"/>
  <c r="Q239"/>
  <c r="T243"/>
  <c r="P243"/>
  <c r="Q243"/>
  <c r="P54"/>
  <c r="Q54"/>
  <c r="P164"/>
  <c r="Q164"/>
  <c r="T164"/>
  <c r="J163"/>
  <c r="P49"/>
  <c r="Q49"/>
  <c r="P261"/>
  <c r="J260"/>
  <c r="T261"/>
  <c r="Q261"/>
  <c r="P273"/>
  <c r="Q273"/>
  <c r="J265"/>
  <c r="T273"/>
  <c r="O46"/>
  <c r="M45"/>
  <c r="S45" s="1"/>
  <c r="P47"/>
  <c r="J46"/>
  <c r="Q47"/>
  <c r="P56"/>
  <c r="Q56"/>
  <c r="M216"/>
  <c r="S217"/>
  <c r="P65"/>
  <c r="Q65"/>
  <c r="P144"/>
  <c r="Q144"/>
  <c r="J143"/>
  <c r="T144"/>
  <c r="P218"/>
  <c r="Q218"/>
  <c r="J217"/>
  <c r="P52"/>
  <c r="Q52"/>
  <c r="N46"/>
  <c r="N45" s="1"/>
  <c r="N44" s="1"/>
  <c r="N6" s="1"/>
  <c r="T267"/>
  <c r="J266"/>
  <c r="Q267"/>
  <c r="P267"/>
  <c r="P221"/>
  <c r="T221"/>
  <c r="Q221"/>
  <c r="H44"/>
  <c r="K248" i="83"/>
  <c r="S199" i="87" l="1"/>
  <c r="P199"/>
  <c r="S49" i="86"/>
  <c r="O49"/>
  <c r="N263" i="87"/>
  <c r="N262" s="1"/>
  <c r="N261" s="1"/>
  <c r="N255" s="1"/>
  <c r="N227" s="1"/>
  <c r="J263"/>
  <c r="M262"/>
  <c r="S263"/>
  <c r="O263"/>
  <c r="O47" i="86"/>
  <c r="S47"/>
  <c r="M46"/>
  <c r="S7" i="87"/>
  <c r="O7"/>
  <c r="S51" i="86"/>
  <c r="O51"/>
  <c r="S52"/>
  <c r="O52"/>
  <c r="Q83"/>
  <c r="P83"/>
  <c r="T131" i="87"/>
  <c r="P131"/>
  <c r="J130"/>
  <c r="Q131"/>
  <c r="S7" i="86"/>
  <c r="O7"/>
  <c r="Q62"/>
  <c r="P62"/>
  <c r="J52"/>
  <c r="M108"/>
  <c r="O109"/>
  <c r="S109"/>
  <c r="S105" i="87"/>
  <c r="P105"/>
  <c r="P38" i="84"/>
  <c r="Q59" i="86"/>
  <c r="P59"/>
  <c r="J49"/>
  <c r="J47"/>
  <c r="P57"/>
  <c r="J56"/>
  <c r="Q57"/>
  <c r="Q205"/>
  <c r="P205"/>
  <c r="J204"/>
  <c r="T205"/>
  <c r="O53" i="87"/>
  <c r="S53"/>
  <c r="T154" i="86"/>
  <c r="Q154"/>
  <c r="P154"/>
  <c r="J153"/>
  <c r="N56"/>
  <c r="N47"/>
  <c r="N46" s="1"/>
  <c r="N45" s="1"/>
  <c r="N44" s="1"/>
  <c r="N6" s="1"/>
  <c r="S53"/>
  <c r="O53"/>
  <c r="P59" i="87"/>
  <c r="Q59"/>
  <c r="J49"/>
  <c r="P61" i="86"/>
  <c r="J51"/>
  <c r="Q61"/>
  <c r="S105"/>
  <c r="P105"/>
  <c r="T14"/>
  <c r="J13"/>
  <c r="Q14"/>
  <c r="P14"/>
  <c r="O54"/>
  <c r="S54"/>
  <c r="O56"/>
  <c r="S56"/>
  <c r="P60" i="87"/>
  <c r="Q60"/>
  <c r="J50"/>
  <c r="J53" i="86"/>
  <c r="Q63"/>
  <c r="P63"/>
  <c r="M275"/>
  <c r="O276"/>
  <c r="S276"/>
  <c r="J276"/>
  <c r="Q284"/>
  <c r="T284"/>
  <c r="P284"/>
  <c r="T286" i="87"/>
  <c r="P286"/>
  <c r="Q286"/>
  <c r="J278"/>
  <c r="Q64" i="86"/>
  <c r="P64"/>
  <c r="J54"/>
  <c r="T232" i="87"/>
  <c r="J231"/>
  <c r="Q232"/>
  <c r="P232"/>
  <c r="O49"/>
  <c r="S49"/>
  <c r="J54"/>
  <c r="Q82"/>
  <c r="P82"/>
  <c r="P180" i="86"/>
  <c r="Q180"/>
  <c r="T180"/>
  <c r="J179"/>
  <c r="J50"/>
  <c r="P60"/>
  <c r="Q60"/>
  <c r="O50" i="87"/>
  <c r="S50"/>
  <c r="Q62"/>
  <c r="P62"/>
  <c r="J52"/>
  <c r="O153"/>
  <c r="M152"/>
  <c r="S153"/>
  <c r="S204" i="86"/>
  <c r="O204"/>
  <c r="M203"/>
  <c r="O50"/>
  <c r="S50"/>
  <c r="P65" i="87"/>
  <c r="Q65"/>
  <c r="S153" i="86"/>
  <c r="M152"/>
  <c r="O153"/>
  <c r="Q206" i="87"/>
  <c r="T206"/>
  <c r="P206"/>
  <c r="J205"/>
  <c r="Q61"/>
  <c r="P61"/>
  <c r="J51"/>
  <c r="P83"/>
  <c r="Q83"/>
  <c r="J256"/>
  <c r="T257"/>
  <c r="P257"/>
  <c r="Q257"/>
  <c r="J254" i="86"/>
  <c r="P255"/>
  <c r="T255"/>
  <c r="Q255"/>
  <c r="S51" i="87"/>
  <c r="O51"/>
  <c r="T110"/>
  <c r="Q110"/>
  <c r="J109"/>
  <c r="P110"/>
  <c r="P8" i="86"/>
  <c r="J7"/>
  <c r="Q8"/>
  <c r="M129"/>
  <c r="O130"/>
  <c r="S130"/>
  <c r="O13" i="87"/>
  <c r="S13"/>
  <c r="N56"/>
  <c r="N47"/>
  <c r="N46" s="1"/>
  <c r="N45" s="1"/>
  <c r="N44" s="1"/>
  <c r="N6" s="1"/>
  <c r="S261" i="86"/>
  <c r="J261"/>
  <c r="O261"/>
  <c r="N261"/>
  <c r="N260" s="1"/>
  <c r="N259" s="1"/>
  <c r="N253" s="1"/>
  <c r="M260"/>
  <c r="Q63" i="87"/>
  <c r="J53"/>
  <c r="P63"/>
  <c r="T154"/>
  <c r="Q154"/>
  <c r="J153"/>
  <c r="P154"/>
  <c r="M277"/>
  <c r="S278"/>
  <c r="O278"/>
  <c r="S179" i="86"/>
  <c r="M178"/>
  <c r="O179"/>
  <c r="S180" i="87"/>
  <c r="O180"/>
  <c r="P74" i="86"/>
  <c r="Q74"/>
  <c r="T181" i="87"/>
  <c r="Q181"/>
  <c r="J180"/>
  <c r="P181"/>
  <c r="P58"/>
  <c r="Q58"/>
  <c r="J48"/>
  <c r="S205"/>
  <c r="O205"/>
  <c r="M204"/>
  <c r="S130"/>
  <c r="O130"/>
  <c r="M129"/>
  <c r="P10"/>
  <c r="Q10"/>
  <c r="T10"/>
  <c r="T237"/>
  <c r="Q237"/>
  <c r="P237"/>
  <c r="S231"/>
  <c r="O231"/>
  <c r="S198" i="86"/>
  <c r="P198"/>
  <c r="Q8" i="87"/>
  <c r="J7"/>
  <c r="P8"/>
  <c r="Q10" i="86"/>
  <c r="P10"/>
  <c r="T10"/>
  <c r="S48" i="87"/>
  <c r="O48"/>
  <c r="P110" i="86"/>
  <c r="Q110"/>
  <c r="T110"/>
  <c r="J109"/>
  <c r="N74" i="87"/>
  <c r="Q131" i="86"/>
  <c r="T131"/>
  <c r="P131"/>
  <c r="J130"/>
  <c r="N231"/>
  <c r="N230" s="1"/>
  <c r="M230"/>
  <c r="O231"/>
  <c r="S231"/>
  <c r="P74" i="87"/>
  <c r="Q74"/>
  <c r="T232" i="86"/>
  <c r="Q232"/>
  <c r="P232"/>
  <c r="J231"/>
  <c r="T14" i="87"/>
  <c r="J13"/>
  <c r="Q14"/>
  <c r="P14"/>
  <c r="O48" i="86"/>
  <c r="S48"/>
  <c r="O254"/>
  <c r="S254"/>
  <c r="Q65"/>
  <c r="P65"/>
  <c r="Q57" i="87"/>
  <c r="J56"/>
  <c r="J47"/>
  <c r="P57"/>
  <c r="P58" i="86"/>
  <c r="J48"/>
  <c r="Q58"/>
  <c r="O13"/>
  <c r="S13"/>
  <c r="S56" i="87"/>
  <c r="O56"/>
  <c r="O47"/>
  <c r="S47"/>
  <c r="M46"/>
  <c r="S256"/>
  <c r="O256"/>
  <c r="S109"/>
  <c r="O109"/>
  <c r="M108"/>
  <c r="P193" i="84"/>
  <c r="P248"/>
  <c r="Q248"/>
  <c r="T248"/>
  <c r="P292"/>
  <c r="S264"/>
  <c r="J192"/>
  <c r="T192" s="1"/>
  <c r="N5"/>
  <c r="Q193"/>
  <c r="S192"/>
  <c r="S44"/>
  <c r="G6"/>
  <c r="P238"/>
  <c r="Q238"/>
  <c r="P217"/>
  <c r="J216"/>
  <c r="Q217"/>
  <c r="J142"/>
  <c r="P143"/>
  <c r="Q143"/>
  <c r="T143"/>
  <c r="P99"/>
  <c r="T99"/>
  <c r="T266"/>
  <c r="P266"/>
  <c r="Q266"/>
  <c r="P220"/>
  <c r="T220"/>
  <c r="Q220"/>
  <c r="H6"/>
  <c r="P260"/>
  <c r="T260"/>
  <c r="Q260"/>
  <c r="O168"/>
  <c r="S168"/>
  <c r="O45"/>
  <c r="M44"/>
  <c r="P92"/>
  <c r="Q92"/>
  <c r="T92"/>
  <c r="J45"/>
  <c r="P46"/>
  <c r="Q46"/>
  <c r="P96"/>
  <c r="T96"/>
  <c r="Q96"/>
  <c r="J264"/>
  <c r="P265"/>
  <c r="Q265"/>
  <c r="T265"/>
  <c r="P13"/>
  <c r="T13"/>
  <c r="Q13"/>
  <c r="P242"/>
  <c r="Q242"/>
  <c r="T242"/>
  <c r="P169"/>
  <c r="J168"/>
  <c r="T169"/>
  <c r="Q169"/>
  <c r="O216"/>
  <c r="S216"/>
  <c r="P163"/>
  <c r="Q163"/>
  <c r="O142"/>
  <c r="S142"/>
  <c r="Q120"/>
  <c r="J119"/>
  <c r="P120"/>
  <c r="T120"/>
  <c r="H47" i="83"/>
  <c r="I47"/>
  <c r="K47"/>
  <c r="L47"/>
  <c r="H48"/>
  <c r="I48"/>
  <c r="K48"/>
  <c r="L48"/>
  <c r="H49"/>
  <c r="I49"/>
  <c r="K49"/>
  <c r="L49"/>
  <c r="H50"/>
  <c r="I50"/>
  <c r="K50"/>
  <c r="L50"/>
  <c r="H51"/>
  <c r="I51"/>
  <c r="K51"/>
  <c r="L51"/>
  <c r="H52"/>
  <c r="I52"/>
  <c r="K52"/>
  <c r="L52"/>
  <c r="H53"/>
  <c r="I53"/>
  <c r="K53"/>
  <c r="L53"/>
  <c r="H54"/>
  <c r="I54"/>
  <c r="K54"/>
  <c r="L54"/>
  <c r="G48"/>
  <c r="G49"/>
  <c r="G50"/>
  <c r="G51"/>
  <c r="G52"/>
  <c r="G53"/>
  <c r="G54"/>
  <c r="G47"/>
  <c r="O82"/>
  <c r="M82"/>
  <c r="N82" s="1"/>
  <c r="O81"/>
  <c r="N81"/>
  <c r="M81"/>
  <c r="J81" s="1"/>
  <c r="O80"/>
  <c r="M80"/>
  <c r="J80" s="1"/>
  <c r="M79"/>
  <c r="J79" s="1"/>
  <c r="M78"/>
  <c r="N78" s="1"/>
  <c r="M77"/>
  <c r="J77" s="1"/>
  <c r="N76"/>
  <c r="M76"/>
  <c r="J76" s="1"/>
  <c r="M75"/>
  <c r="O75" s="1"/>
  <c r="O74" s="1"/>
  <c r="L74"/>
  <c r="K74"/>
  <c r="I74"/>
  <c r="H74"/>
  <c r="G74"/>
  <c r="N226" i="86" l="1"/>
  <c r="N5" s="1"/>
  <c r="N5" i="87"/>
  <c r="S46"/>
  <c r="O46"/>
  <c r="M45"/>
  <c r="Q54"/>
  <c r="P54"/>
  <c r="J260" i="86"/>
  <c r="Q261"/>
  <c r="P261"/>
  <c r="Q56"/>
  <c r="P56"/>
  <c r="Q276"/>
  <c r="T276"/>
  <c r="J275"/>
  <c r="P276"/>
  <c r="T109"/>
  <c r="Q109"/>
  <c r="J108"/>
  <c r="P109"/>
  <c r="Q49" i="87"/>
  <c r="P49"/>
  <c r="T254" i="86"/>
  <c r="P254"/>
  <c r="Q254"/>
  <c r="Q263" i="87"/>
  <c r="J262"/>
  <c r="P263"/>
  <c r="S108"/>
  <c r="O108"/>
  <c r="S260" i="86"/>
  <c r="O260"/>
  <c r="M259"/>
  <c r="S262" i="87"/>
  <c r="M261"/>
  <c r="O262"/>
  <c r="O230" i="86"/>
  <c r="S230"/>
  <c r="Q180" i="87"/>
  <c r="T180"/>
  <c r="P180"/>
  <c r="J179"/>
  <c r="O152" i="86"/>
  <c r="S152"/>
  <c r="T179"/>
  <c r="Q179"/>
  <c r="J178"/>
  <c r="P179"/>
  <c r="P204"/>
  <c r="J203"/>
  <c r="Q204"/>
  <c r="T204"/>
  <c r="Q49"/>
  <c r="P49"/>
  <c r="J129" i="87"/>
  <c r="T130"/>
  <c r="Q130"/>
  <c r="P130"/>
  <c r="Q130" i="86"/>
  <c r="T130"/>
  <c r="P130"/>
  <c r="J129"/>
  <c r="P56" i="87"/>
  <c r="Q56"/>
  <c r="P53"/>
  <c r="Q53"/>
  <c r="P13" i="86"/>
  <c r="T13"/>
  <c r="Q13"/>
  <c r="Q47" i="87"/>
  <c r="J46"/>
  <c r="P47"/>
  <c r="Q7"/>
  <c r="P7"/>
  <c r="T109"/>
  <c r="J108"/>
  <c r="Q109"/>
  <c r="P109"/>
  <c r="Q52" i="86"/>
  <c r="P52"/>
  <c r="S203"/>
  <c r="O203"/>
  <c r="M202"/>
  <c r="P48" i="87"/>
  <c r="Q48"/>
  <c r="T278"/>
  <c r="J277"/>
  <c r="P278"/>
  <c r="Q278"/>
  <c r="S108" i="86"/>
  <c r="O108"/>
  <c r="S46"/>
  <c r="M45"/>
  <c r="O46"/>
  <c r="Q48"/>
  <c r="P48"/>
  <c r="T153" i="87"/>
  <c r="Q153"/>
  <c r="J152"/>
  <c r="P153"/>
  <c r="T205"/>
  <c r="Q205"/>
  <c r="J204"/>
  <c r="P205"/>
  <c r="Q7" i="86"/>
  <c r="P7"/>
  <c r="O275"/>
  <c r="S275"/>
  <c r="O179" i="87"/>
  <c r="S179"/>
  <c r="J46" i="86"/>
  <c r="Q47"/>
  <c r="P47"/>
  <c r="Q51"/>
  <c r="P51"/>
  <c r="M203" i="87"/>
  <c r="O204"/>
  <c r="S204"/>
  <c r="O277"/>
  <c r="S277"/>
  <c r="P54" i="86"/>
  <c r="Q54"/>
  <c r="T153"/>
  <c r="Q153"/>
  <c r="J152"/>
  <c r="P153"/>
  <c r="J230"/>
  <c r="T231"/>
  <c r="P231"/>
  <c r="Q231"/>
  <c r="P52" i="87"/>
  <c r="Q52"/>
  <c r="O178" i="86"/>
  <c r="S178"/>
  <c r="T256" i="87"/>
  <c r="Q256"/>
  <c r="P256"/>
  <c r="Q53" i="86"/>
  <c r="P53"/>
  <c r="P50"/>
  <c r="Q50"/>
  <c r="O129"/>
  <c r="S129"/>
  <c r="P51" i="87"/>
  <c r="Q51"/>
  <c r="T231"/>
  <c r="Q231"/>
  <c r="P231"/>
  <c r="T13"/>
  <c r="Q13"/>
  <c r="P13"/>
  <c r="O129"/>
  <c r="S129"/>
  <c r="O152"/>
  <c r="S152"/>
  <c r="Q50"/>
  <c r="P50"/>
  <c r="P192" i="84"/>
  <c r="Q192"/>
  <c r="P119"/>
  <c r="Q119"/>
  <c r="T119"/>
  <c r="P216"/>
  <c r="Q216"/>
  <c r="T216"/>
  <c r="H5"/>
  <c r="P142"/>
  <c r="Q142"/>
  <c r="T142"/>
  <c r="G5"/>
  <c r="O44"/>
  <c r="M6"/>
  <c r="S6" s="1"/>
  <c r="P168"/>
  <c r="Q168"/>
  <c r="T168"/>
  <c r="P45"/>
  <c r="J44"/>
  <c r="Q45"/>
  <c r="P264"/>
  <c r="Q264"/>
  <c r="T264"/>
  <c r="N77" i="83"/>
  <c r="N80"/>
  <c r="N75"/>
  <c r="J82"/>
  <c r="O77"/>
  <c r="J78"/>
  <c r="O79"/>
  <c r="O76"/>
  <c r="N79"/>
  <c r="J75"/>
  <c r="M74"/>
  <c r="O78"/>
  <c r="K291"/>
  <c r="L291"/>
  <c r="M293"/>
  <c r="M292"/>
  <c r="G239"/>
  <c r="G194"/>
  <c r="G193" s="1"/>
  <c r="G144"/>
  <c r="G143" s="1"/>
  <c r="G121"/>
  <c r="G120" s="1"/>
  <c r="G101"/>
  <c r="G100" s="1"/>
  <c r="M57"/>
  <c r="M58"/>
  <c r="M59"/>
  <c r="M60"/>
  <c r="M61"/>
  <c r="M62"/>
  <c r="M63"/>
  <c r="N63" s="1"/>
  <c r="N61"/>
  <c r="N62"/>
  <c r="L46"/>
  <c r="L45" s="1"/>
  <c r="L44" s="1"/>
  <c r="N43"/>
  <c r="M43"/>
  <c r="J43" s="1"/>
  <c r="M40"/>
  <c r="J40" s="1"/>
  <c r="G14"/>
  <c r="T152" i="87" l="1"/>
  <c r="Q152"/>
  <c r="P152"/>
  <c r="S45"/>
  <c r="M44"/>
  <c r="O45"/>
  <c r="Q129" i="86"/>
  <c r="P129"/>
  <c r="T129"/>
  <c r="T204" i="87"/>
  <c r="Q204"/>
  <c r="J203"/>
  <c r="P204"/>
  <c r="Q260" i="86"/>
  <c r="T260"/>
  <c r="J259"/>
  <c r="P260"/>
  <c r="O202"/>
  <c r="S202"/>
  <c r="Q262" i="87"/>
  <c r="T262"/>
  <c r="P262"/>
  <c r="J261"/>
  <c r="Q178" i="86"/>
  <c r="P178"/>
  <c r="T178"/>
  <c r="J45"/>
  <c r="Q46"/>
  <c r="P46"/>
  <c r="Q275"/>
  <c r="T275"/>
  <c r="P275"/>
  <c r="Q179" i="87"/>
  <c r="T179"/>
  <c r="P179"/>
  <c r="T152" i="86"/>
  <c r="Q152"/>
  <c r="P152"/>
  <c r="Q230"/>
  <c r="P230"/>
  <c r="T230"/>
  <c r="J45" i="87"/>
  <c r="Q46"/>
  <c r="P46"/>
  <c r="S261"/>
  <c r="O261"/>
  <c r="M255"/>
  <c r="T277"/>
  <c r="Q277"/>
  <c r="P277"/>
  <c r="T203" i="86"/>
  <c r="Q203"/>
  <c r="P203"/>
  <c r="J202"/>
  <c r="S259"/>
  <c r="O259"/>
  <c r="M253"/>
  <c r="S45"/>
  <c r="M44"/>
  <c r="O45"/>
  <c r="P129" i="87"/>
  <c r="Q129"/>
  <c r="T129"/>
  <c r="Q108"/>
  <c r="P108"/>
  <c r="T108"/>
  <c r="T108" i="86"/>
  <c r="P108"/>
  <c r="Q108"/>
  <c r="O203" i="87"/>
  <c r="S203"/>
  <c r="M5" i="84"/>
  <c r="O5" s="1"/>
  <c r="O6"/>
  <c r="P44"/>
  <c r="Q44"/>
  <c r="T44"/>
  <c r="J6"/>
  <c r="N74" i="83"/>
  <c r="N57"/>
  <c r="N60"/>
  <c r="N58"/>
  <c r="N59"/>
  <c r="J74"/>
  <c r="N40"/>
  <c r="Q45" i="87" l="1"/>
  <c r="J44"/>
  <c r="P45"/>
  <c r="Q45" i="86"/>
  <c r="J44"/>
  <c r="P45"/>
  <c r="Q261" i="87"/>
  <c r="T261"/>
  <c r="P261"/>
  <c r="J255"/>
  <c r="S44"/>
  <c r="O44"/>
  <c r="M6"/>
  <c r="T203"/>
  <c r="P203"/>
  <c r="Q203"/>
  <c r="T202" i="86"/>
  <c r="Q202"/>
  <c r="P202"/>
  <c r="Q259"/>
  <c r="T259"/>
  <c r="P259"/>
  <c r="J253"/>
  <c r="S253"/>
  <c r="O253"/>
  <c r="M226"/>
  <c r="S44"/>
  <c r="O44"/>
  <c r="M6"/>
  <c r="S255" i="87"/>
  <c r="O255"/>
  <c r="M227"/>
  <c r="P6" i="84"/>
  <c r="J5"/>
  <c r="Q6"/>
  <c r="S5"/>
  <c r="M294" i="83"/>
  <c r="J292"/>
  <c r="I291"/>
  <c r="I290" s="1"/>
  <c r="I262" s="1"/>
  <c r="H291"/>
  <c r="H290" s="1"/>
  <c r="L271"/>
  <c r="L263" s="1"/>
  <c r="L262" s="1"/>
  <c r="I271"/>
  <c r="I263" s="1"/>
  <c r="H271"/>
  <c r="H263" s="1"/>
  <c r="K270"/>
  <c r="M270" s="1"/>
  <c r="K269"/>
  <c r="M269" s="1"/>
  <c r="K268"/>
  <c r="M268" s="1"/>
  <c r="K267"/>
  <c r="M267" s="1"/>
  <c r="K266"/>
  <c r="M266" s="1"/>
  <c r="K265"/>
  <c r="M265" s="1"/>
  <c r="L264"/>
  <c r="I264"/>
  <c r="H264"/>
  <c r="G264"/>
  <c r="G218"/>
  <c r="L218"/>
  <c r="L217" s="1"/>
  <c r="I218"/>
  <c r="I217" s="1"/>
  <c r="H218"/>
  <c r="H217" s="1"/>
  <c r="L260"/>
  <c r="L259" s="1"/>
  <c r="I260"/>
  <c r="I259" s="1"/>
  <c r="H260"/>
  <c r="H259" s="1"/>
  <c r="G260"/>
  <c r="G259" s="1"/>
  <c r="L249"/>
  <c r="L248" s="1"/>
  <c r="I249"/>
  <c r="I248" s="1"/>
  <c r="H249"/>
  <c r="H248" s="1"/>
  <c r="L245"/>
  <c r="I245"/>
  <c r="H245"/>
  <c r="G243"/>
  <c r="L243"/>
  <c r="I243"/>
  <c r="H243"/>
  <c r="L239"/>
  <c r="L238" s="1"/>
  <c r="I239"/>
  <c r="I238" s="1"/>
  <c r="H239"/>
  <c r="L221"/>
  <c r="L220" s="1"/>
  <c r="I221"/>
  <c r="I220" s="1"/>
  <c r="H221"/>
  <c r="H220" s="1"/>
  <c r="G214"/>
  <c r="L214"/>
  <c r="L213" s="1"/>
  <c r="I214"/>
  <c r="I213" s="1"/>
  <c r="H214"/>
  <c r="H213" s="1"/>
  <c r="L194"/>
  <c r="L193" s="1"/>
  <c r="L192" s="1"/>
  <c r="I194"/>
  <c r="I193" s="1"/>
  <c r="H194"/>
  <c r="H193" s="1"/>
  <c r="L189"/>
  <c r="L188" s="1"/>
  <c r="I189"/>
  <c r="I188" s="1"/>
  <c r="H189"/>
  <c r="L170"/>
  <c r="L169" s="1"/>
  <c r="I170"/>
  <c r="I169" s="1"/>
  <c r="H170"/>
  <c r="H169" s="1"/>
  <c r="L164"/>
  <c r="L163" s="1"/>
  <c r="I164"/>
  <c r="I163" s="1"/>
  <c r="H164"/>
  <c r="H163" s="1"/>
  <c r="L144"/>
  <c r="L143" s="1"/>
  <c r="L142" s="1"/>
  <c r="I144"/>
  <c r="I143" s="1"/>
  <c r="I142" s="1"/>
  <c r="H144"/>
  <c r="H143" s="1"/>
  <c r="H142" s="1"/>
  <c r="G140"/>
  <c r="G139" s="1"/>
  <c r="G119" s="1"/>
  <c r="L140"/>
  <c r="L139" s="1"/>
  <c r="J140"/>
  <c r="J139" s="1"/>
  <c r="I140"/>
  <c r="I139" s="1"/>
  <c r="H140"/>
  <c r="H139" s="1"/>
  <c r="L121"/>
  <c r="L120" s="1"/>
  <c r="I121"/>
  <c r="I120" s="1"/>
  <c r="H121"/>
  <c r="H120" s="1"/>
  <c r="L101"/>
  <c r="L100" s="1"/>
  <c r="I101"/>
  <c r="I100" s="1"/>
  <c r="H101"/>
  <c r="H100" s="1"/>
  <c r="G97"/>
  <c r="G96" s="1"/>
  <c r="L97"/>
  <c r="L96" s="1"/>
  <c r="I97"/>
  <c r="I96" s="1"/>
  <c r="H97"/>
  <c r="H96" s="1"/>
  <c r="L93"/>
  <c r="L92" s="1"/>
  <c r="I93"/>
  <c r="I92" s="1"/>
  <c r="H93"/>
  <c r="H92" s="1"/>
  <c r="L83"/>
  <c r="L65"/>
  <c r="G65"/>
  <c r="L56"/>
  <c r="K55"/>
  <c r="L38"/>
  <c r="G34"/>
  <c r="T35"/>
  <c r="L34"/>
  <c r="I34"/>
  <c r="H34"/>
  <c r="L14"/>
  <c r="L13" s="1"/>
  <c r="I14"/>
  <c r="I13" s="1"/>
  <c r="H14"/>
  <c r="H13" s="1"/>
  <c r="L10"/>
  <c r="I10"/>
  <c r="H10"/>
  <c r="G10"/>
  <c r="L8"/>
  <c r="I8"/>
  <c r="H8"/>
  <c r="J226" i="86" l="1"/>
  <c r="Q253"/>
  <c r="T253"/>
  <c r="P253"/>
  <c r="S226"/>
  <c r="O226"/>
  <c r="T255" i="87"/>
  <c r="Q255"/>
  <c r="P255"/>
  <c r="J227"/>
  <c r="M5"/>
  <c r="S6"/>
  <c r="O6"/>
  <c r="Q44"/>
  <c r="P44"/>
  <c r="T44"/>
  <c r="J6"/>
  <c r="Q44" i="86"/>
  <c r="T44"/>
  <c r="P44"/>
  <c r="J6"/>
  <c r="M5"/>
  <c r="S6"/>
  <c r="O6"/>
  <c r="O227" i="87"/>
  <c r="S227"/>
  <c r="P5" i="84"/>
  <c r="Q5"/>
  <c r="L216" i="83"/>
  <c r="I216"/>
  <c r="H216"/>
  <c r="L168"/>
  <c r="H192"/>
  <c r="H262"/>
  <c r="I192"/>
  <c r="I168"/>
  <c r="L7"/>
  <c r="L6" s="1"/>
  <c r="I7"/>
  <c r="H7"/>
  <c r="M55"/>
  <c r="N294"/>
  <c r="M291"/>
  <c r="L99"/>
  <c r="I99"/>
  <c r="L119"/>
  <c r="G189"/>
  <c r="G93"/>
  <c r="G92" s="1"/>
  <c r="K264"/>
  <c r="G245"/>
  <c r="H99"/>
  <c r="T140"/>
  <c r="G213"/>
  <c r="I242"/>
  <c r="L242"/>
  <c r="O294"/>
  <c r="J270"/>
  <c r="N270"/>
  <c r="O270"/>
  <c r="J268"/>
  <c r="N268"/>
  <c r="O268"/>
  <c r="G217"/>
  <c r="G13"/>
  <c r="H188"/>
  <c r="H168" s="1"/>
  <c r="G164"/>
  <c r="I119"/>
  <c r="J265"/>
  <c r="N265"/>
  <c r="O265"/>
  <c r="J293"/>
  <c r="N293"/>
  <c r="H65"/>
  <c r="G170"/>
  <c r="G169" s="1"/>
  <c r="N292"/>
  <c r="M264"/>
  <c r="J269"/>
  <c r="N269"/>
  <c r="O269"/>
  <c r="H56"/>
  <c r="N266"/>
  <c r="O266"/>
  <c r="H119"/>
  <c r="G221"/>
  <c r="G220" s="1"/>
  <c r="H242"/>
  <c r="G249"/>
  <c r="G248" s="1"/>
  <c r="G242" s="1"/>
  <c r="G291"/>
  <c r="I65"/>
  <c r="G56"/>
  <c r="G271"/>
  <c r="G263" s="1"/>
  <c r="J267"/>
  <c r="N267"/>
  <c r="O267"/>
  <c r="J266"/>
  <c r="G8"/>
  <c r="G7" s="1"/>
  <c r="G83"/>
  <c r="H238"/>
  <c r="H83"/>
  <c r="N55" l="1"/>
  <c r="K56" i="93"/>
  <c r="M56" s="1"/>
  <c r="K56" i="92"/>
  <c r="M56" s="1"/>
  <c r="K56" i="90"/>
  <c r="M56" s="1"/>
  <c r="K56" i="89"/>
  <c r="M56" s="1"/>
  <c r="K56" i="88"/>
  <c r="M56" s="1"/>
  <c r="K55" i="87"/>
  <c r="M55" s="1"/>
  <c r="K55" i="86"/>
  <c r="M55" s="1"/>
  <c r="K55" i="84"/>
  <c r="M55" s="1"/>
  <c r="S55" i="83"/>
  <c r="J55"/>
  <c r="J5" i="86"/>
  <c r="Q6"/>
  <c r="P6"/>
  <c r="O5"/>
  <c r="S5"/>
  <c r="Q226"/>
  <c r="T226"/>
  <c r="P226"/>
  <c r="Q227" i="87"/>
  <c r="T227"/>
  <c r="P227"/>
  <c r="O5"/>
  <c r="S5"/>
  <c r="Q6"/>
  <c r="P6"/>
  <c r="J5"/>
  <c r="L5" i="83"/>
  <c r="G262"/>
  <c r="G168"/>
  <c r="O55"/>
  <c r="N291"/>
  <c r="N290" s="1"/>
  <c r="J291"/>
  <c r="T291" s="1"/>
  <c r="G192"/>
  <c r="G188"/>
  <c r="I56"/>
  <c r="T265"/>
  <c r="J264"/>
  <c r="T268"/>
  <c r="T269"/>
  <c r="G290"/>
  <c r="O291"/>
  <c r="M290"/>
  <c r="T270"/>
  <c r="I46"/>
  <c r="I45" s="1"/>
  <c r="I44" s="1"/>
  <c r="G238"/>
  <c r="I83"/>
  <c r="O264"/>
  <c r="G42"/>
  <c r="G41" s="1"/>
  <c r="T266"/>
  <c r="N264"/>
  <c r="G163"/>
  <c r="G142" s="1"/>
  <c r="H46"/>
  <c r="H45" s="1"/>
  <c r="H44" s="1"/>
  <c r="G46"/>
  <c r="G45" s="1"/>
  <c r="G44" s="1"/>
  <c r="J56" i="90" l="1"/>
  <c r="O56"/>
  <c r="N56"/>
  <c r="S56"/>
  <c r="N55" i="86"/>
  <c r="O55"/>
  <c r="S55"/>
  <c r="J55"/>
  <c r="J56" i="93"/>
  <c r="N56"/>
  <c r="O56"/>
  <c r="S56"/>
  <c r="O56" i="88"/>
  <c r="N56"/>
  <c r="J56"/>
  <c r="S56"/>
  <c r="J56" i="92"/>
  <c r="N56"/>
  <c r="S56"/>
  <c r="O56"/>
  <c r="J56" i="89"/>
  <c r="O56"/>
  <c r="N56"/>
  <c r="S56"/>
  <c r="S55" i="87"/>
  <c r="J55"/>
  <c r="N55"/>
  <c r="O55"/>
  <c r="O55" i="84"/>
  <c r="N55"/>
  <c r="S55"/>
  <c r="J55"/>
  <c r="P55" i="83"/>
  <c r="Q55"/>
  <c r="Q5" i="86"/>
  <c r="P5"/>
  <c r="Q5" i="87"/>
  <c r="P5"/>
  <c r="J290" i="83"/>
  <c r="G39"/>
  <c r="T264"/>
  <c r="G216"/>
  <c r="G99"/>
  <c r="Q56" i="89" l="1"/>
  <c r="P56"/>
  <c r="Q55" i="84"/>
  <c r="P55"/>
  <c r="Q55" i="87"/>
  <c r="P55"/>
  <c r="Q56" i="93"/>
  <c r="P56"/>
  <c r="Q56" i="90"/>
  <c r="P56"/>
  <c r="P55" i="86"/>
  <c r="Q55"/>
  <c r="P56" i="88"/>
  <c r="Q56"/>
  <c r="Q56" i="92"/>
  <c r="P56"/>
  <c r="G38" i="83"/>
  <c r="G6" s="1"/>
  <c r="G5" s="1"/>
  <c r="H42"/>
  <c r="H41" s="1"/>
  <c r="H6" l="1"/>
  <c r="H5" s="1"/>
  <c r="H39"/>
  <c r="H38" s="1"/>
  <c r="I42"/>
  <c r="I41" s="1"/>
  <c r="I39" l="1"/>
  <c r="I38" s="1"/>
  <c r="I6" s="1"/>
  <c r="I5" s="1"/>
  <c r="M278" l="1"/>
  <c r="J278" s="1"/>
  <c r="M282"/>
  <c r="J282" s="1"/>
  <c r="M289"/>
  <c r="J289" s="1"/>
  <c r="M281"/>
  <c r="J281" s="1"/>
  <c r="M280"/>
  <c r="J280" s="1"/>
  <c r="M279"/>
  <c r="J279" s="1"/>
  <c r="M277"/>
  <c r="J277" s="1"/>
  <c r="M283"/>
  <c r="J283" s="1"/>
  <c r="M273"/>
  <c r="J273" s="1"/>
  <c r="M288"/>
  <c r="J288" s="1"/>
  <c r="M285"/>
  <c r="J285" s="1"/>
  <c r="M286"/>
  <c r="J286" s="1"/>
  <c r="M276"/>
  <c r="J276" s="1"/>
  <c r="M275"/>
  <c r="J275" s="1"/>
  <c r="M274"/>
  <c r="J274" s="1"/>
  <c r="M284"/>
  <c r="J284" s="1"/>
  <c r="M287"/>
  <c r="J287" s="1"/>
  <c r="O274" l="1"/>
  <c r="N274"/>
  <c r="N284"/>
  <c r="O284"/>
  <c r="N281"/>
  <c r="O281"/>
  <c r="N279"/>
  <c r="O279"/>
  <c r="N288"/>
  <c r="O288"/>
  <c r="N285"/>
  <c r="O285"/>
  <c r="M272"/>
  <c r="S272" s="1"/>
  <c r="K271"/>
  <c r="K263" s="1"/>
  <c r="K262" s="1"/>
  <c r="N278"/>
  <c r="O278"/>
  <c r="N282"/>
  <c r="O282"/>
  <c r="N280"/>
  <c r="O280"/>
  <c r="N286"/>
  <c r="O286"/>
  <c r="O276"/>
  <c r="N276"/>
  <c r="O277"/>
  <c r="N277"/>
  <c r="N289"/>
  <c r="O289"/>
  <c r="O273"/>
  <c r="N273"/>
  <c r="O287"/>
  <c r="N287"/>
  <c r="O275"/>
  <c r="N275"/>
  <c r="N283"/>
  <c r="O283"/>
  <c r="O272" l="1"/>
  <c r="J272"/>
  <c r="N272"/>
  <c r="N271" s="1"/>
  <c r="N263" s="1"/>
  <c r="N262" s="1"/>
  <c r="M271"/>
  <c r="T280"/>
  <c r="T281"/>
  <c r="T288"/>
  <c r="T284"/>
  <c r="T277"/>
  <c r="T279"/>
  <c r="T283"/>
  <c r="T289"/>
  <c r="T278"/>
  <c r="T274"/>
  <c r="T276"/>
  <c r="T282"/>
  <c r="T285"/>
  <c r="T287"/>
  <c r="Q272" l="1"/>
  <c r="P272"/>
  <c r="M263"/>
  <c r="S271"/>
  <c r="T272"/>
  <c r="J271"/>
  <c r="O271"/>
  <c r="M262" l="1"/>
  <c r="S262" s="1"/>
  <c r="S263"/>
  <c r="J263"/>
  <c r="Q271"/>
  <c r="P271"/>
  <c r="T271"/>
  <c r="O263"/>
  <c r="J262" l="1"/>
  <c r="P263"/>
  <c r="Q263"/>
  <c r="T263"/>
  <c r="O262"/>
  <c r="P262" l="1"/>
  <c r="Q262"/>
  <c r="T262"/>
  <c r="M123" l="1"/>
  <c r="J123" s="1"/>
  <c r="O123" l="1"/>
  <c r="N123"/>
  <c r="M35" l="1"/>
  <c r="M37"/>
  <c r="O35" l="1"/>
  <c r="O37"/>
  <c r="N37"/>
  <c r="J37"/>
  <c r="M241" l="1"/>
  <c r="O241" l="1"/>
  <c r="J241"/>
  <c r="N241"/>
  <c r="K38" l="1"/>
  <c r="M95" l="1"/>
  <c r="K218" l="1"/>
  <c r="M219"/>
  <c r="N95"/>
  <c r="O95"/>
  <c r="J95"/>
  <c r="M191"/>
  <c r="J191" s="1"/>
  <c r="K217" l="1"/>
  <c r="M247"/>
  <c r="J219"/>
  <c r="M218"/>
  <c r="O219"/>
  <c r="N219"/>
  <c r="N218" s="1"/>
  <c r="N217" s="1"/>
  <c r="O191"/>
  <c r="N191"/>
  <c r="M94"/>
  <c r="J94" s="1"/>
  <c r="K93"/>
  <c r="K92" s="1"/>
  <c r="T94" l="1"/>
  <c r="J93"/>
  <c r="M217"/>
  <c r="O218"/>
  <c r="O217" s="1"/>
  <c r="J247"/>
  <c r="O247"/>
  <c r="N247"/>
  <c r="J218"/>
  <c r="M93"/>
  <c r="O94"/>
  <c r="N94"/>
  <c r="N93" s="1"/>
  <c r="N92" s="1"/>
  <c r="J92"/>
  <c r="T92" s="1"/>
  <c r="T93"/>
  <c r="M36" l="1"/>
  <c r="K34"/>
  <c r="M92"/>
  <c r="O93"/>
  <c r="J217"/>
  <c r="O36" l="1"/>
  <c r="N36"/>
  <c r="N34" s="1"/>
  <c r="J36"/>
  <c r="M34"/>
  <c r="O92"/>
  <c r="K189" l="1"/>
  <c r="K188" s="1"/>
  <c r="M190"/>
  <c r="J190" s="1"/>
  <c r="T36"/>
  <c r="J34"/>
  <c r="T34" s="1"/>
  <c r="O34"/>
  <c r="J189" l="1"/>
  <c r="O190"/>
  <c r="N190"/>
  <c r="N189" s="1"/>
  <c r="N188" s="1"/>
  <c r="M189"/>
  <c r="K214"/>
  <c r="K213" s="1"/>
  <c r="M215"/>
  <c r="J215" s="1"/>
  <c r="J188" l="1"/>
  <c r="T189"/>
  <c r="J214"/>
  <c r="O189"/>
  <c r="M188"/>
  <c r="O215"/>
  <c r="N215"/>
  <c r="N214" s="1"/>
  <c r="N213" s="1"/>
  <c r="M214"/>
  <c r="J213" l="1"/>
  <c r="T214"/>
  <c r="M213"/>
  <c r="O214"/>
  <c r="K140"/>
  <c r="K139" s="1"/>
  <c r="M141"/>
  <c r="N141" l="1"/>
  <c r="N140" s="1"/>
  <c r="N139" s="1"/>
  <c r="M140"/>
  <c r="M139" l="1"/>
  <c r="O140"/>
  <c r="M196" l="1"/>
  <c r="J196" s="1"/>
  <c r="M167"/>
  <c r="J167" s="1"/>
  <c r="M166"/>
  <c r="J166" s="1"/>
  <c r="N167" l="1"/>
  <c r="O167"/>
  <c r="N196"/>
  <c r="O196"/>
  <c r="N166"/>
  <c r="M165" l="1"/>
  <c r="J165" s="1"/>
  <c r="K164"/>
  <c r="K163" s="1"/>
  <c r="J164" l="1"/>
  <c r="M164"/>
  <c r="N165"/>
  <c r="N164" s="1"/>
  <c r="N163" s="1"/>
  <c r="M172"/>
  <c r="J172" s="1"/>
  <c r="M146"/>
  <c r="J146" s="1"/>
  <c r="M228"/>
  <c r="J228" s="1"/>
  <c r="J163" l="1"/>
  <c r="T164"/>
  <c r="M163"/>
  <c r="O164"/>
  <c r="K260"/>
  <c r="K259" s="1"/>
  <c r="M261"/>
  <c r="N172"/>
  <c r="O172"/>
  <c r="M103"/>
  <c r="N146"/>
  <c r="O146"/>
  <c r="M258"/>
  <c r="M257"/>
  <c r="N228"/>
  <c r="O228"/>
  <c r="N261" l="1"/>
  <c r="M260"/>
  <c r="O261"/>
  <c r="J261"/>
  <c r="O103"/>
  <c r="N103"/>
  <c r="J257"/>
  <c r="O257"/>
  <c r="N257"/>
  <c r="N258"/>
  <c r="J258"/>
  <c r="O258"/>
  <c r="N260" l="1"/>
  <c r="N259" s="1"/>
  <c r="M259"/>
  <c r="O260"/>
  <c r="O259" s="1"/>
  <c r="J260"/>
  <c r="T261"/>
  <c r="T257"/>
  <c r="T260" l="1"/>
  <c r="J259"/>
  <c r="T259" s="1"/>
  <c r="M223" l="1"/>
  <c r="J223" s="1"/>
  <c r="K239"/>
  <c r="K238" s="1"/>
  <c r="M240"/>
  <c r="J240" s="1"/>
  <c r="J239" l="1"/>
  <c r="N223"/>
  <c r="O223"/>
  <c r="M186"/>
  <c r="J186" s="1"/>
  <c r="T186" s="1"/>
  <c r="N240"/>
  <c r="N239" s="1"/>
  <c r="N238" s="1"/>
  <c r="O240"/>
  <c r="M239"/>
  <c r="T239" l="1"/>
  <c r="J238"/>
  <c r="N186"/>
  <c r="O186"/>
  <c r="M238"/>
  <c r="O239"/>
  <c r="M205" l="1"/>
  <c r="J205" s="1"/>
  <c r="M185"/>
  <c r="J185" s="1"/>
  <c r="M111"/>
  <c r="M184"/>
  <c r="J184" s="1"/>
  <c r="M105"/>
  <c r="M113"/>
  <c r="M155"/>
  <c r="J155" s="1"/>
  <c r="M132"/>
  <c r="J132" s="1"/>
  <c r="M147"/>
  <c r="J147" s="1"/>
  <c r="M21"/>
  <c r="J21" s="1"/>
  <c r="M209"/>
  <c r="J209" s="1"/>
  <c r="M181"/>
  <c r="J181" s="1"/>
  <c r="M203"/>
  <c r="J203" s="1"/>
  <c r="M90"/>
  <c r="M230"/>
  <c r="J230" s="1"/>
  <c r="M33"/>
  <c r="J33" s="1"/>
  <c r="M86"/>
  <c r="M233"/>
  <c r="M114"/>
  <c r="J114" s="1"/>
  <c r="M131"/>
  <c r="J131" s="1"/>
  <c r="M202"/>
  <c r="J202" s="1"/>
  <c r="M138"/>
  <c r="J138" s="1"/>
  <c r="M107"/>
  <c r="M26"/>
  <c r="J26" s="1"/>
  <c r="M150"/>
  <c r="M235"/>
  <c r="M161"/>
  <c r="J161" s="1"/>
  <c r="M252"/>
  <c r="M73"/>
  <c r="M160"/>
  <c r="J160" s="1"/>
  <c r="M162"/>
  <c r="J162" s="1"/>
  <c r="M148"/>
  <c r="J148" s="1"/>
  <c r="M137"/>
  <c r="J137" s="1"/>
  <c r="M136"/>
  <c r="J136" s="1"/>
  <c r="M104"/>
  <c r="M152"/>
  <c r="J152" s="1"/>
  <c r="M12"/>
  <c r="S12" s="1"/>
  <c r="M16"/>
  <c r="J16" s="1"/>
  <c r="M87"/>
  <c r="M200"/>
  <c r="J200" s="1"/>
  <c r="M204"/>
  <c r="J204" s="1"/>
  <c r="M109"/>
  <c r="M23"/>
  <c r="J23" s="1"/>
  <c r="M211"/>
  <c r="J211" s="1"/>
  <c r="M251"/>
  <c r="M198"/>
  <c r="M153"/>
  <c r="J153" s="1"/>
  <c r="M25"/>
  <c r="J25" s="1"/>
  <c r="M31"/>
  <c r="J31" s="1"/>
  <c r="M229"/>
  <c r="J229" s="1"/>
  <c r="M115"/>
  <c r="J115" s="1"/>
  <c r="M19"/>
  <c r="J19" s="1"/>
  <c r="M199"/>
  <c r="M157"/>
  <c r="M130"/>
  <c r="J130" s="1"/>
  <c r="M117"/>
  <c r="J117" s="1"/>
  <c r="M24"/>
  <c r="J24" s="1"/>
  <c r="M133"/>
  <c r="J133" s="1"/>
  <c r="M27"/>
  <c r="J27" s="1"/>
  <c r="M183"/>
  <c r="J183" s="1"/>
  <c r="M32"/>
  <c r="J32" s="1"/>
  <c r="M237"/>
  <c r="J237" s="1"/>
  <c r="M118"/>
  <c r="J118" s="1"/>
  <c r="M30"/>
  <c r="J30" s="1"/>
  <c r="M110"/>
  <c r="M89"/>
  <c r="M208"/>
  <c r="J208" s="1"/>
  <c r="M20"/>
  <c r="J20" s="1"/>
  <c r="M201"/>
  <c r="J201" s="1"/>
  <c r="M116"/>
  <c r="J116" s="1"/>
  <c r="M154"/>
  <c r="J154" s="1"/>
  <c r="M158"/>
  <c r="J158" s="1"/>
  <c r="M17"/>
  <c r="J17" s="1"/>
  <c r="M69"/>
  <c r="M50" s="1"/>
  <c r="N50" s="1"/>
  <c r="M156"/>
  <c r="J156" s="1"/>
  <c r="S109" l="1"/>
  <c r="P109"/>
  <c r="S107"/>
  <c r="P107"/>
  <c r="J157"/>
  <c r="S157"/>
  <c r="S233"/>
  <c r="P233"/>
  <c r="J198"/>
  <c r="S198"/>
  <c r="J199"/>
  <c r="S199"/>
  <c r="T114"/>
  <c r="T209"/>
  <c r="T153"/>
  <c r="T30"/>
  <c r="T130"/>
  <c r="T160"/>
  <c r="T181"/>
  <c r="T158"/>
  <c r="T138"/>
  <c r="T111"/>
  <c r="T203"/>
  <c r="T233"/>
  <c r="T184"/>
  <c r="T208"/>
  <c r="T230"/>
  <c r="T116"/>
  <c r="T205"/>
  <c r="T131"/>
  <c r="T110"/>
  <c r="T31"/>
  <c r="T204"/>
  <c r="T136"/>
  <c r="T109"/>
  <c r="T155"/>
  <c r="T183"/>
  <c r="T132"/>
  <c r="T235"/>
  <c r="N152"/>
  <c r="O152"/>
  <c r="M135"/>
  <c r="J135" s="1"/>
  <c r="O237"/>
  <c r="N237"/>
  <c r="M226"/>
  <c r="J226" s="1"/>
  <c r="O157"/>
  <c r="N157"/>
  <c r="M176"/>
  <c r="M126"/>
  <c r="J126" s="1"/>
  <c r="O16"/>
  <c r="N16"/>
  <c r="N183"/>
  <c r="O183"/>
  <c r="N31"/>
  <c r="O31"/>
  <c r="N107"/>
  <c r="O107"/>
  <c r="M128"/>
  <c r="J128" s="1"/>
  <c r="N200"/>
  <c r="O200"/>
  <c r="J87"/>
  <c r="O87"/>
  <c r="N87"/>
  <c r="O181"/>
  <c r="N181"/>
  <c r="M71"/>
  <c r="M52" s="1"/>
  <c r="N52" s="1"/>
  <c r="N30"/>
  <c r="O30"/>
  <c r="O117"/>
  <c r="N117"/>
  <c r="M255"/>
  <c r="N162"/>
  <c r="O162"/>
  <c r="O208"/>
  <c r="N208"/>
  <c r="M178"/>
  <c r="J252"/>
  <c r="O252"/>
  <c r="N252"/>
  <c r="O203"/>
  <c r="N203"/>
  <c r="M70"/>
  <c r="M51" s="1"/>
  <c r="N51" s="1"/>
  <c r="M129"/>
  <c r="J129" s="1"/>
  <c r="O113"/>
  <c r="N113"/>
  <c r="O156"/>
  <c r="N156"/>
  <c r="M207"/>
  <c r="J207" s="1"/>
  <c r="O137"/>
  <c r="N137"/>
  <c r="N198"/>
  <c r="O198"/>
  <c r="O229"/>
  <c r="N229"/>
  <c r="N153"/>
  <c r="O153"/>
  <c r="M197"/>
  <c r="O104"/>
  <c r="N104"/>
  <c r="M210"/>
  <c r="J210" s="1"/>
  <c r="O111"/>
  <c r="N111"/>
  <c r="N24"/>
  <c r="O24"/>
  <c r="M187"/>
  <c r="J187" s="1"/>
  <c r="O251"/>
  <c r="J251"/>
  <c r="N251"/>
  <c r="O136"/>
  <c r="N136"/>
  <c r="O148"/>
  <c r="N148"/>
  <c r="M231"/>
  <c r="J231" s="1"/>
  <c r="O205"/>
  <c r="N205"/>
  <c r="M72"/>
  <c r="M53" s="1"/>
  <c r="N53" s="1"/>
  <c r="O19"/>
  <c r="N19"/>
  <c r="O131"/>
  <c r="N131"/>
  <c r="O211"/>
  <c r="N211"/>
  <c r="M177"/>
  <c r="M175"/>
  <c r="J175" s="1"/>
  <c r="M85"/>
  <c r="N201"/>
  <c r="O201"/>
  <c r="M227"/>
  <c r="M234"/>
  <c r="J234" s="1"/>
  <c r="M159"/>
  <c r="J159" s="1"/>
  <c r="N110"/>
  <c r="O110"/>
  <c r="N32"/>
  <c r="O32"/>
  <c r="M125"/>
  <c r="J125" s="1"/>
  <c r="O109"/>
  <c r="N109"/>
  <c r="N204"/>
  <c r="O204"/>
  <c r="M29"/>
  <c r="J29" s="1"/>
  <c r="J12"/>
  <c r="N12"/>
  <c r="O12"/>
  <c r="M179"/>
  <c r="J179" s="1"/>
  <c r="N150"/>
  <c r="O150"/>
  <c r="O26"/>
  <c r="N26"/>
  <c r="O33"/>
  <c r="N33"/>
  <c r="M18"/>
  <c r="J18" s="1"/>
  <c r="M232"/>
  <c r="O89"/>
  <c r="J89"/>
  <c r="N89"/>
  <c r="O69"/>
  <c r="J69"/>
  <c r="N69"/>
  <c r="N115"/>
  <c r="O115"/>
  <c r="N25"/>
  <c r="O25"/>
  <c r="M124"/>
  <c r="J124" s="1"/>
  <c r="N235"/>
  <c r="O235"/>
  <c r="N202"/>
  <c r="O202"/>
  <c r="M151"/>
  <c r="J151" s="1"/>
  <c r="M254"/>
  <c r="O147"/>
  <c r="N147"/>
  <c r="N155"/>
  <c r="O155"/>
  <c r="O209"/>
  <c r="N209"/>
  <c r="N118"/>
  <c r="O118"/>
  <c r="N185"/>
  <c r="O185"/>
  <c r="M212"/>
  <c r="J212" s="1"/>
  <c r="O133"/>
  <c r="N133"/>
  <c r="M127"/>
  <c r="J127" s="1"/>
  <c r="M28"/>
  <c r="J28" s="1"/>
  <c r="M206"/>
  <c r="J206" s="1"/>
  <c r="M149"/>
  <c r="J149" s="1"/>
  <c r="J90"/>
  <c r="N90"/>
  <c r="O90"/>
  <c r="M253"/>
  <c r="N154"/>
  <c r="O154"/>
  <c r="N158"/>
  <c r="O158"/>
  <c r="M91"/>
  <c r="M106"/>
  <c r="J73"/>
  <c r="O73"/>
  <c r="N73"/>
  <c r="O233"/>
  <c r="N233"/>
  <c r="N132"/>
  <c r="O132"/>
  <c r="M134"/>
  <c r="J134" s="1"/>
  <c r="M180"/>
  <c r="J180" s="1"/>
  <c r="N130"/>
  <c r="O130"/>
  <c r="M256"/>
  <c r="O116"/>
  <c r="N116"/>
  <c r="M173"/>
  <c r="J173" s="1"/>
  <c r="N20"/>
  <c r="O20"/>
  <c r="M67"/>
  <c r="M108"/>
  <c r="N161"/>
  <c r="O161"/>
  <c r="O230"/>
  <c r="N230"/>
  <c r="N199"/>
  <c r="O199"/>
  <c r="N17"/>
  <c r="O17"/>
  <c r="O114"/>
  <c r="N114"/>
  <c r="O184"/>
  <c r="N184"/>
  <c r="M112"/>
  <c r="M174"/>
  <c r="M224"/>
  <c r="M22"/>
  <c r="J22" s="1"/>
  <c r="O23"/>
  <c r="N23"/>
  <c r="J86"/>
  <c r="O86"/>
  <c r="N86"/>
  <c r="O105"/>
  <c r="N105"/>
  <c r="O27"/>
  <c r="N27"/>
  <c r="M236"/>
  <c r="J236" s="1"/>
  <c r="M225"/>
  <c r="M182"/>
  <c r="J182" s="1"/>
  <c r="M88"/>
  <c r="O160"/>
  <c r="N160"/>
  <c r="N138"/>
  <c r="O138"/>
  <c r="O21"/>
  <c r="N21"/>
  <c r="P157" l="1"/>
  <c r="Q157"/>
  <c r="P12"/>
  <c r="Q12"/>
  <c r="Q198"/>
  <c r="P198"/>
  <c r="J178"/>
  <c r="S178"/>
  <c r="J176"/>
  <c r="S176"/>
  <c r="Q199"/>
  <c r="P199"/>
  <c r="J197"/>
  <c r="S197"/>
  <c r="S232"/>
  <c r="J227"/>
  <c r="S227"/>
  <c r="J225"/>
  <c r="S225"/>
  <c r="J224"/>
  <c r="S224"/>
  <c r="T180"/>
  <c r="T234"/>
  <c r="T206"/>
  <c r="T159"/>
  <c r="T182"/>
  <c r="T135"/>
  <c r="T231"/>
  <c r="M48"/>
  <c r="N48" s="1"/>
  <c r="T29"/>
  <c r="T112"/>
  <c r="T134"/>
  <c r="T179"/>
  <c r="N173"/>
  <c r="O173"/>
  <c r="J254"/>
  <c r="O254"/>
  <c r="N254"/>
  <c r="T150"/>
  <c r="N179"/>
  <c r="O179"/>
  <c r="T104"/>
  <c r="O22"/>
  <c r="N22"/>
  <c r="N28"/>
  <c r="O28"/>
  <c r="T19"/>
  <c r="O174"/>
  <c r="N174"/>
  <c r="O29"/>
  <c r="N29"/>
  <c r="T237"/>
  <c r="O175"/>
  <c r="N175"/>
  <c r="T162"/>
  <c r="T117"/>
  <c r="T18"/>
  <c r="O18"/>
  <c r="N18"/>
  <c r="N128"/>
  <c r="O128"/>
  <c r="O236"/>
  <c r="N236"/>
  <c r="O206"/>
  <c r="N206"/>
  <c r="T32"/>
  <c r="T201"/>
  <c r="T113"/>
  <c r="J70"/>
  <c r="N70"/>
  <c r="O70"/>
  <c r="O226"/>
  <c r="N226"/>
  <c r="T185"/>
  <c r="O182"/>
  <c r="N182"/>
  <c r="N127"/>
  <c r="O127"/>
  <c r="T202"/>
  <c r="N135"/>
  <c r="O135"/>
  <c r="T157"/>
  <c r="T133"/>
  <c r="T21"/>
  <c r="O134"/>
  <c r="N134"/>
  <c r="N108"/>
  <c r="O108"/>
  <c r="T147"/>
  <c r="T26"/>
  <c r="T12"/>
  <c r="T211"/>
  <c r="T24"/>
  <c r="O178"/>
  <c r="N178"/>
  <c r="T16"/>
  <c r="T152"/>
  <c r="O88"/>
  <c r="J88"/>
  <c r="N88"/>
  <c r="N149"/>
  <c r="O149"/>
  <c r="T199"/>
  <c r="T33"/>
  <c r="T200"/>
  <c r="N126"/>
  <c r="O126"/>
  <c r="T161"/>
  <c r="T118"/>
  <c r="O234"/>
  <c r="N234"/>
  <c r="N106"/>
  <c r="O106"/>
  <c r="T137"/>
  <c r="N255"/>
  <c r="O255"/>
  <c r="J255"/>
  <c r="T154"/>
  <c r="O197"/>
  <c r="N197"/>
  <c r="T23"/>
  <c r="N124"/>
  <c r="O124"/>
  <c r="T25"/>
  <c r="N210"/>
  <c r="O210"/>
  <c r="O207"/>
  <c r="N207"/>
  <c r="T156"/>
  <c r="J71"/>
  <c r="O71"/>
  <c r="N71"/>
  <c r="O231"/>
  <c r="N231"/>
  <c r="N225"/>
  <c r="O225"/>
  <c r="O67"/>
  <c r="J67"/>
  <c r="N67"/>
  <c r="T229"/>
  <c r="T20"/>
  <c r="J72"/>
  <c r="O72"/>
  <c r="N72"/>
  <c r="N180"/>
  <c r="O180"/>
  <c r="O256"/>
  <c r="N256"/>
  <c r="J256"/>
  <c r="N253"/>
  <c r="O253"/>
  <c r="J253"/>
  <c r="N212"/>
  <c r="O212"/>
  <c r="N159"/>
  <c r="O159"/>
  <c r="O177"/>
  <c r="N177"/>
  <c r="N129"/>
  <c r="O129"/>
  <c r="T107"/>
  <c r="N85"/>
  <c r="O85"/>
  <c r="J85"/>
  <c r="T27"/>
  <c r="O91"/>
  <c r="J91"/>
  <c r="N91"/>
  <c r="O125"/>
  <c r="N125"/>
  <c r="N227"/>
  <c r="O227"/>
  <c r="N187"/>
  <c r="O187"/>
  <c r="N176"/>
  <c r="O176"/>
  <c r="N224"/>
  <c r="O224"/>
  <c r="N112"/>
  <c r="O112"/>
  <c r="T17"/>
  <c r="N151"/>
  <c r="O151"/>
  <c r="N232"/>
  <c r="O232"/>
  <c r="P178" l="1"/>
  <c r="Q178"/>
  <c r="P176"/>
  <c r="Q176"/>
  <c r="Q197"/>
  <c r="P197"/>
  <c r="Q232"/>
  <c r="P232"/>
  <c r="T232"/>
  <c r="P227"/>
  <c r="Q227"/>
  <c r="P225"/>
  <c r="Q225"/>
  <c r="Q224"/>
  <c r="P224"/>
  <c r="T28"/>
  <c r="T227"/>
  <c r="T126"/>
  <c r="T178"/>
  <c r="T175"/>
  <c r="T207"/>
  <c r="T224"/>
  <c r="T22"/>
  <c r="T187"/>
  <c r="T173"/>
  <c r="T212"/>
  <c r="T226"/>
  <c r="T236"/>
  <c r="T197"/>
  <c r="T106"/>
  <c r="T128"/>
  <c r="T177"/>
  <c r="T124"/>
  <c r="T108"/>
  <c r="T127"/>
  <c r="T176"/>
  <c r="T149"/>
  <c r="T129"/>
  <c r="T151"/>
  <c r="T210"/>
  <c r="M11" l="1"/>
  <c r="J11" s="1"/>
  <c r="K10"/>
  <c r="T11" l="1"/>
  <c r="J10"/>
  <c r="N11"/>
  <c r="N10" s="1"/>
  <c r="O11"/>
  <c r="M10"/>
  <c r="S10" s="1"/>
  <c r="T10" l="1"/>
  <c r="P10"/>
  <c r="Q10"/>
  <c r="M9"/>
  <c r="K8"/>
  <c r="K7" s="1"/>
  <c r="M15"/>
  <c r="K14"/>
  <c r="K13" s="1"/>
  <c r="O10"/>
  <c r="S9" l="1"/>
  <c r="P9"/>
  <c r="N9"/>
  <c r="N8" s="1"/>
  <c r="N7" s="1"/>
  <c r="O9"/>
  <c r="M8"/>
  <c r="M171"/>
  <c r="S171" s="1"/>
  <c r="K170"/>
  <c r="K169" s="1"/>
  <c r="K168" s="1"/>
  <c r="K56"/>
  <c r="M64"/>
  <c r="M246"/>
  <c r="K245"/>
  <c r="M84"/>
  <c r="K83"/>
  <c r="N15"/>
  <c r="N14" s="1"/>
  <c r="N13" s="1"/>
  <c r="M14"/>
  <c r="O15"/>
  <c r="J15"/>
  <c r="M145"/>
  <c r="K144"/>
  <c r="K143" s="1"/>
  <c r="K142" s="1"/>
  <c r="M98"/>
  <c r="J98" s="1"/>
  <c r="K97"/>
  <c r="K96" s="1"/>
  <c r="M7" l="1"/>
  <c r="S8"/>
  <c r="P8"/>
  <c r="M56"/>
  <c r="M54"/>
  <c r="N54" s="1"/>
  <c r="J97"/>
  <c r="T98"/>
  <c r="K46"/>
  <c r="K45" s="1"/>
  <c r="K44" s="1"/>
  <c r="K6" s="1"/>
  <c r="K121"/>
  <c r="K120" s="1"/>
  <c r="M122"/>
  <c r="S122" s="1"/>
  <c r="N246"/>
  <c r="N245" s="1"/>
  <c r="J246"/>
  <c r="M245"/>
  <c r="O246"/>
  <c r="O245" s="1"/>
  <c r="J57"/>
  <c r="O57"/>
  <c r="M222"/>
  <c r="S222" s="1"/>
  <c r="K221"/>
  <c r="J8"/>
  <c r="M170"/>
  <c r="O171"/>
  <c r="N171"/>
  <c r="N170" s="1"/>
  <c r="N169" s="1"/>
  <c r="N168" s="1"/>
  <c r="J171"/>
  <c r="O63"/>
  <c r="J63"/>
  <c r="J53" s="1"/>
  <c r="J64"/>
  <c r="J54" s="1"/>
  <c r="O64"/>
  <c r="N64"/>
  <c r="N56" s="1"/>
  <c r="O58"/>
  <c r="J58"/>
  <c r="J48" s="1"/>
  <c r="O145"/>
  <c r="M144"/>
  <c r="N145"/>
  <c r="N144" s="1"/>
  <c r="N143" s="1"/>
  <c r="N142" s="1"/>
  <c r="O14"/>
  <c r="M13"/>
  <c r="J62"/>
  <c r="J52" s="1"/>
  <c r="O62"/>
  <c r="T15"/>
  <c r="J14"/>
  <c r="O8"/>
  <c r="O98"/>
  <c r="M97"/>
  <c r="N98"/>
  <c r="N97" s="1"/>
  <c r="N96" s="1"/>
  <c r="M195"/>
  <c r="S195" s="1"/>
  <c r="K194"/>
  <c r="K193" s="1"/>
  <c r="K192" s="1"/>
  <c r="K65"/>
  <c r="M66"/>
  <c r="M47" s="1"/>
  <c r="N47" s="1"/>
  <c r="N84"/>
  <c r="N83" s="1"/>
  <c r="O84"/>
  <c r="O83" s="1"/>
  <c r="M83"/>
  <c r="J84"/>
  <c r="J59"/>
  <c r="O59"/>
  <c r="J7" l="1"/>
  <c r="Q7" s="1"/>
  <c r="Q8"/>
  <c r="M143"/>
  <c r="S144"/>
  <c r="S7"/>
  <c r="M169"/>
  <c r="S170"/>
  <c r="Q171"/>
  <c r="P171"/>
  <c r="J96"/>
  <c r="T96" s="1"/>
  <c r="T97"/>
  <c r="M221"/>
  <c r="K220"/>
  <c r="K119"/>
  <c r="O60"/>
  <c r="J60"/>
  <c r="J50" s="1"/>
  <c r="T171"/>
  <c r="J170"/>
  <c r="O54"/>
  <c r="T246"/>
  <c r="J245"/>
  <c r="T245" s="1"/>
  <c r="N66"/>
  <c r="O66"/>
  <c r="J66"/>
  <c r="J47" s="1"/>
  <c r="O52"/>
  <c r="M244"/>
  <c r="S244" s="1"/>
  <c r="K243"/>
  <c r="M68"/>
  <c r="M49" s="1"/>
  <c r="N49" s="1"/>
  <c r="O13"/>
  <c r="J83"/>
  <c r="O170"/>
  <c r="J122"/>
  <c r="M121"/>
  <c r="O122"/>
  <c r="N122"/>
  <c r="N121" s="1"/>
  <c r="N120" s="1"/>
  <c r="O61"/>
  <c r="J61"/>
  <c r="J51" s="1"/>
  <c r="J144"/>
  <c r="T145"/>
  <c r="K101"/>
  <c r="M102"/>
  <c r="O195"/>
  <c r="N195"/>
  <c r="N194" s="1"/>
  <c r="N193" s="1"/>
  <c r="N192" s="1"/>
  <c r="J195"/>
  <c r="M194"/>
  <c r="J13"/>
  <c r="T13" s="1"/>
  <c r="T14"/>
  <c r="O48"/>
  <c r="O144"/>
  <c r="M250"/>
  <c r="S250" s="1"/>
  <c r="K249"/>
  <c r="O222"/>
  <c r="N222"/>
  <c r="J222"/>
  <c r="M96"/>
  <c r="O97"/>
  <c r="O96" s="1"/>
  <c r="O7"/>
  <c r="O53"/>
  <c r="P7" l="1"/>
  <c r="P102"/>
  <c r="S102"/>
  <c r="M142"/>
  <c r="S142" s="1"/>
  <c r="S143"/>
  <c r="Q144"/>
  <c r="P144"/>
  <c r="M120"/>
  <c r="S120" s="1"/>
  <c r="S121"/>
  <c r="P122"/>
  <c r="Q122"/>
  <c r="M168"/>
  <c r="S168" s="1"/>
  <c r="S169"/>
  <c r="J169"/>
  <c r="P170"/>
  <c r="Q170"/>
  <c r="P195"/>
  <c r="Q195"/>
  <c r="M193"/>
  <c r="S194"/>
  <c r="M220"/>
  <c r="S220" s="1"/>
  <c r="S221"/>
  <c r="P222"/>
  <c r="Q222"/>
  <c r="K216"/>
  <c r="K99"/>
  <c r="K100"/>
  <c r="O221"/>
  <c r="N221"/>
  <c r="N220" s="1"/>
  <c r="T144"/>
  <c r="J143"/>
  <c r="M65"/>
  <c r="O65" s="1"/>
  <c r="M46"/>
  <c r="M45" s="1"/>
  <c r="J56"/>
  <c r="O56"/>
  <c r="N119"/>
  <c r="O121"/>
  <c r="O194"/>
  <c r="T222"/>
  <c r="J221"/>
  <c r="T170"/>
  <c r="O50"/>
  <c r="K242"/>
  <c r="M249"/>
  <c r="O169"/>
  <c r="J68"/>
  <c r="J49" s="1"/>
  <c r="O68"/>
  <c r="N68"/>
  <c r="O51"/>
  <c r="M243"/>
  <c r="S243" s="1"/>
  <c r="O244"/>
  <c r="N244"/>
  <c r="N243" s="1"/>
  <c r="J244"/>
  <c r="T122"/>
  <c r="J121"/>
  <c r="M101"/>
  <c r="N102"/>
  <c r="N101" s="1"/>
  <c r="O102"/>
  <c r="O47"/>
  <c r="J250"/>
  <c r="N250"/>
  <c r="O250"/>
  <c r="J194"/>
  <c r="T195"/>
  <c r="M100" l="1"/>
  <c r="M99" s="1"/>
  <c r="P101"/>
  <c r="S101"/>
  <c r="J142"/>
  <c r="Q143"/>
  <c r="P143"/>
  <c r="J120"/>
  <c r="P121"/>
  <c r="Q121"/>
  <c r="J168"/>
  <c r="Q169"/>
  <c r="P169"/>
  <c r="M192"/>
  <c r="S192" s="1"/>
  <c r="S193"/>
  <c r="J193"/>
  <c r="P194"/>
  <c r="Q194"/>
  <c r="Q250"/>
  <c r="P250"/>
  <c r="S249"/>
  <c r="M248"/>
  <c r="S248" s="1"/>
  <c r="Q244"/>
  <c r="P244"/>
  <c r="P221"/>
  <c r="Q221"/>
  <c r="O220"/>
  <c r="K5"/>
  <c r="N100"/>
  <c r="N99" s="1"/>
  <c r="J220"/>
  <c r="T220" s="1"/>
  <c r="M44"/>
  <c r="O44" s="1"/>
  <c r="O45"/>
  <c r="J65"/>
  <c r="J46"/>
  <c r="J45" s="1"/>
  <c r="N65"/>
  <c r="N46"/>
  <c r="N45" s="1"/>
  <c r="N44" s="1"/>
  <c r="J42"/>
  <c r="J41" s="1"/>
  <c r="M42"/>
  <c r="O43"/>
  <c r="N249"/>
  <c r="O249"/>
  <c r="O49"/>
  <c r="O120"/>
  <c r="M119"/>
  <c r="S119" s="1"/>
  <c r="O168"/>
  <c r="O243"/>
  <c r="O46"/>
  <c r="T169"/>
  <c r="J249"/>
  <c r="T194"/>
  <c r="T221"/>
  <c r="J101"/>
  <c r="T102"/>
  <c r="T244"/>
  <c r="J243"/>
  <c r="T121"/>
  <c r="O101"/>
  <c r="O193"/>
  <c r="J100" l="1"/>
  <c r="Q100" s="1"/>
  <c r="Q101"/>
  <c r="S99"/>
  <c r="S100"/>
  <c r="O100"/>
  <c r="Q142"/>
  <c r="P142"/>
  <c r="P120"/>
  <c r="Q120"/>
  <c r="P168"/>
  <c r="Q168"/>
  <c r="T168"/>
  <c r="J192"/>
  <c r="P193"/>
  <c r="Q193"/>
  <c r="T193"/>
  <c r="P249"/>
  <c r="Q249"/>
  <c r="J248"/>
  <c r="Q243"/>
  <c r="P243"/>
  <c r="P220"/>
  <c r="Q220"/>
  <c r="N248"/>
  <c r="N242" s="1"/>
  <c r="N216" s="1"/>
  <c r="J44"/>
  <c r="T44" s="1"/>
  <c r="M41"/>
  <c r="O42"/>
  <c r="J39"/>
  <c r="T40"/>
  <c r="N42"/>
  <c r="N41" s="1"/>
  <c r="O99"/>
  <c r="O248"/>
  <c r="O192"/>
  <c r="T243"/>
  <c r="T101"/>
  <c r="O119"/>
  <c r="M242"/>
  <c r="T120"/>
  <c r="J119"/>
  <c r="O143"/>
  <c r="T249"/>
  <c r="J99" l="1"/>
  <c r="T100"/>
  <c r="P100"/>
  <c r="Q119"/>
  <c r="P119"/>
  <c r="P192"/>
  <c r="Q192"/>
  <c r="T192"/>
  <c r="Q248"/>
  <c r="P248"/>
  <c r="T248"/>
  <c r="M216"/>
  <c r="S216" s="1"/>
  <c r="S242"/>
  <c r="N39"/>
  <c r="N38" s="1"/>
  <c r="N6" s="1"/>
  <c r="N5" s="1"/>
  <c r="J38"/>
  <c r="J6" s="1"/>
  <c r="Q6" s="1"/>
  <c r="T39"/>
  <c r="O41"/>
  <c r="T143"/>
  <c r="T119"/>
  <c r="O142"/>
  <c r="O242"/>
  <c r="J242"/>
  <c r="Q99" l="1"/>
  <c r="P99"/>
  <c r="T99"/>
  <c r="J216"/>
  <c r="J5" s="1"/>
  <c r="Q242"/>
  <c r="P242"/>
  <c r="O40"/>
  <c r="M39"/>
  <c r="T38"/>
  <c r="T142"/>
  <c r="T242"/>
  <c r="O216"/>
  <c r="Q216" l="1"/>
  <c r="P216"/>
  <c r="Q5"/>
  <c r="M38"/>
  <c r="M6" s="1"/>
  <c r="O39"/>
  <c r="T216"/>
  <c r="M5" l="1"/>
  <c r="S5" s="1"/>
  <c r="S6"/>
  <c r="P6"/>
  <c r="O38"/>
  <c r="P5" l="1"/>
  <c r="O6"/>
  <c r="O5"/>
</calcChain>
</file>

<file path=xl/sharedStrings.xml><?xml version="1.0" encoding="utf-8"?>
<sst xmlns="http://schemas.openxmlformats.org/spreadsheetml/2006/main" count="3456" uniqueCount="173">
  <si>
    <t>Оплата труда</t>
  </si>
  <si>
    <t>Компенсационные выплаты</t>
  </si>
  <si>
    <t>Социальный налог</t>
  </si>
  <si>
    <t>Социальные отчисления в Государственный фонд социального страхования</t>
  </si>
  <si>
    <t>Оплата услуг связи</t>
  </si>
  <si>
    <t>Прочие текущие расходы</t>
  </si>
  <si>
    <t>Прочие текущие затраты</t>
  </si>
  <si>
    <t>015</t>
  </si>
  <si>
    <t>Жылыой</t>
  </si>
  <si>
    <t>Индер</t>
  </si>
  <si>
    <t>Исатай</t>
  </si>
  <si>
    <t>Махамбет</t>
  </si>
  <si>
    <t>Макат</t>
  </si>
  <si>
    <t>053</t>
  </si>
  <si>
    <t>1264</t>
  </si>
  <si>
    <t>018</t>
  </si>
  <si>
    <t>007</t>
  </si>
  <si>
    <t>Пробретение транспортных средств</t>
  </si>
  <si>
    <t>Капитальные расходы государственных органов</t>
  </si>
  <si>
    <t>Отчисления на обязательное социальное медицинское страхования</t>
  </si>
  <si>
    <t>1266</t>
  </si>
  <si>
    <t>113</t>
  </si>
  <si>
    <t>За счет средств местного бюджета</t>
  </si>
  <si>
    <t>013</t>
  </si>
  <si>
    <t>1262</t>
  </si>
  <si>
    <t>002</t>
  </si>
  <si>
    <t>За счет  средств из местного бюджета</t>
  </si>
  <si>
    <t xml:space="preserve">Руководитель отдела  планирования и финансирования бюджетных программ </t>
  </si>
  <si>
    <t>011</t>
  </si>
  <si>
    <t>064</t>
  </si>
  <si>
    <t>068</t>
  </si>
  <si>
    <t>100</t>
  </si>
  <si>
    <t>101</t>
  </si>
  <si>
    <t>102</t>
  </si>
  <si>
    <t>069</t>
  </si>
  <si>
    <t>000</t>
  </si>
  <si>
    <t>003</t>
  </si>
  <si>
    <t>001</t>
  </si>
  <si>
    <t>014</t>
  </si>
  <si>
    <t>ожидаемое освоение до конца года</t>
  </si>
  <si>
    <t>Субсидии физическим июридическим лицам</t>
  </si>
  <si>
    <t>066</t>
  </si>
  <si>
    <t>Обязательные пенсионные взносы работодателя</t>
  </si>
  <si>
    <t>067</t>
  </si>
  <si>
    <t>Капитальные расходы подведомственных государственных учреждений</t>
  </si>
  <si>
    <t>Субсидии физическим и юридическим лицам</t>
  </si>
  <si>
    <t>Атырау қ.</t>
  </si>
  <si>
    <t>Қызылқоға</t>
  </si>
  <si>
    <t>Құрманғазы</t>
  </si>
  <si>
    <t>Жастар тәжірибесі</t>
  </si>
  <si>
    <t>Жобаны іске асыруға Алғашқы жұмыс орындары</t>
  </si>
  <si>
    <t>Ұрпақтар келісім шарт жобасын іске асыруға</t>
  </si>
  <si>
    <t>Ваучер</t>
  </si>
  <si>
    <t>Жалақыны ішінара субсидиялау</t>
  </si>
  <si>
    <t>Мүгедектердің жалақысын ішінара субсидиялау</t>
  </si>
  <si>
    <t>Күміс жас</t>
  </si>
  <si>
    <t>Приобретение транспортных средств</t>
  </si>
  <si>
    <t>Приобретение прочих основных средств</t>
  </si>
  <si>
    <t>Күрделі жөндеу</t>
  </si>
  <si>
    <t>Мүгедектігі бар адамдарды техникалық көмекші құралдармен және арнаулы жүріп тұру құралдармен қамтамасыз ету</t>
  </si>
  <si>
    <t>Капитальный ремонт помещений, зданий, сооружений, передаточных устройств</t>
  </si>
  <si>
    <t>031</t>
  </si>
  <si>
    <t>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</t>
  </si>
  <si>
    <t>Заңды тұлғаларға трансферттерге арналған шығыстарды есептеу</t>
  </si>
  <si>
    <t xml:space="preserve">Приобретение машин оборудование, инструментов, производственного и хозяйственного инвентаря  </t>
  </si>
  <si>
    <t>Протездік - ортопедиялық көмекпен қамтамасыз ету</t>
  </si>
  <si>
    <t>Приобретение нематериальных активов</t>
  </si>
  <si>
    <t>мүгедектігі бар адамдарға инватакси қызметімен қамтамасыз ету</t>
  </si>
  <si>
    <t>отбасын қолдау орталығын ұстауға</t>
  </si>
  <si>
    <t>катетермен қамтамасыз ету</t>
  </si>
  <si>
    <t>азаматтарды жекеленген санаттары үшін әлеуметтік көмек</t>
  </si>
  <si>
    <t>арнаулы әлеуметтік қызметтер көрсету орталығын мекеме ұстауға</t>
  </si>
  <si>
    <t>Әкім шісі</t>
  </si>
  <si>
    <t>ММ коды</t>
  </si>
  <si>
    <t>Бағдарлама</t>
  </si>
  <si>
    <t>Кіші бағда лама</t>
  </si>
  <si>
    <t>Ерекшілік</t>
  </si>
  <si>
    <t>Шығыстардың атауы</t>
  </si>
  <si>
    <t>Облыстың жұмыспен қамтуды үйлестіру және әлеуметтік бағдарламалар басқармасы</t>
  </si>
  <si>
    <t>"Жұмыспен қамтуды үйлестіру және бюджеттік бағдарламалар басқармасы" ММ</t>
  </si>
  <si>
    <t>Мүгедектігі бар адамдарға әлеуметтік қолдау</t>
  </si>
  <si>
    <t>Мүгедектігі бар адамды оңалтудың жеке бағдарламасына сәйкес мүгедектігі бар адамдардың және мүгедектігі бар балалардың санаторлық-курорттық емделуін қамтамасыз ету</t>
  </si>
  <si>
    <t xml:space="preserve">Жеке тұлғаларға берілетін трансферттер </t>
  </si>
  <si>
    <t>Протездеу,үйрету жөнінде медициналық қызметтер көрсету протездік-ортопедиялық құралдарымен және оларды пайдалануды қамтамасыз ету</t>
  </si>
  <si>
    <t>Өзге де қызметтер мен жұмыстарға ақы төлеу</t>
  </si>
  <si>
    <t>Жергілікті бюджет қаражаты есебінен</t>
  </si>
  <si>
    <t>Еңбек ақы</t>
  </si>
  <si>
    <t>Қосымша ақшалай төлімдер</t>
  </si>
  <si>
    <t>Өтемақы төлемдері</t>
  </si>
  <si>
    <t>Жұмыс берушінің міндетті зейнетақы жарналары</t>
  </si>
  <si>
    <t>Әлеуметтік салық</t>
  </si>
  <si>
    <t xml:space="preserve">Мемлекеттік әлеуметтік сақтандыру қорына әлеуметтік аударымдар </t>
  </si>
  <si>
    <t>Міндетті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</si>
  <si>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</si>
  <si>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</si>
  <si>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</si>
  <si>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Техникалық персоналдың ел ішіндегі іс сапарлары мен қызметтік сапарлары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</si>
  <si>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</si>
  <si>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</si>
  <si>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</si>
  <si>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</si>
  <si>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</si>
  <si>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Ел iшiндегi iссапарлар мен қызметтiк сапарлар</t>
  </si>
  <si>
    <t>Өзге де ағымдағы шығындар</t>
  </si>
  <si>
    <t>Мемлекеттік органның күрделі шығыстары</t>
  </si>
  <si>
    <t>Машиналар, жабдықтар, өндірістік және шаруашылық мүккамал құралдарын сатып алу</t>
  </si>
  <si>
    <t>Үкіметтік емес ұйымдарда мемлекеттік әлеуметтік тапсырысты орналастыру</t>
  </si>
  <si>
    <t>Мемлекеттік әлеуметтік тапсырыс шеңберінде көрсетілетін қызметтерге ақы төлеу</t>
  </si>
  <si>
    <t>Төменгі тұрған бюджеттерге берілетін нысаналы ағымдағы  трансферттер</t>
  </si>
  <si>
    <t>Мемлекеттік басқарудың басқа деңгейлеріне берілетін ағымдағы трансферттер</t>
  </si>
  <si>
    <t>оның ішінде:</t>
  </si>
  <si>
    <t xml:space="preserve">Мемлекеттік атаулы әлеуметтік көмек төлеуге </t>
  </si>
  <si>
    <t>1 жастан 6 жасқа дейін балаларды қоса алғанда берілетін қосымша төлемдер</t>
  </si>
  <si>
    <t>Кохлеарлық импланттарға дәлдеп сөйлеу процессорларын ауыстыру және келтіру бойынша қызмет көрсету</t>
  </si>
  <si>
    <t>"№ 3 Арнаулы әлеуметтік көмек көрсету орталығы" КММ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</si>
  <si>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мүгедектігі бар балалар үшін арнаулы әлеуметтік қызметтер көрсету</t>
  </si>
  <si>
    <t>Азық-түлік өнімдерін сатып алу</t>
  </si>
  <si>
    <t>"№ 4 Арнаулы әлеуметтік көмек көрсету орталығы" КММ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</si>
  <si>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мүгедектігі бар адамдарға арнаулы әлеуметтік қызметтер көрсету</t>
  </si>
  <si>
    <t>Ведомствалық бағынысты мемлекеттік мекемелер мен ұйымдардың күрделі шығыстары</t>
  </si>
  <si>
    <t>"Облыстық мүгедектерді сауықтыру орталығы" ММ</t>
  </si>
  <si>
    <t>Оңалту орталықтарында қарттарға, мүгедектігі бар адамдарға, оның ішінде мүгедектігі бар балаларға арнаулы әлеуметтік қызметтер көрсету</t>
  </si>
  <si>
    <t>Дәрілік заттар және медициналық мақсаттағы өзге де бұйымдарды сатып алу</t>
  </si>
  <si>
    <t>"№ 1 Арнаулы әлеуметтік көмек көрсету орталығы" КММ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</si>
  <si>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мүгедектігі бар адамдар үшін арнаулы әлеуметтік қызметтер көрсету</t>
  </si>
  <si>
    <t>"№ 2 Арнаулы әлеуметтік көмек көрсету орталығы" КММ</t>
  </si>
  <si>
    <t>Атырау облысы Жұмыспен қамтуды үйлестіру және әлеуметтік бағдарламалар басқармасының "Атырау облысы бойынша еңбек мобильдігі орталығы"  КММ</t>
  </si>
  <si>
    <t>Жәрдемақыларды және басқа да әлеуметтік төлемдерді есептеу, төлеу мен жеткізу бойынша қызметтерге ақы төлеу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</si>
  <si>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</si>
  <si>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Жұмыспен қамту бағдарламасы</t>
  </si>
  <si>
    <t>Қоғамдық жұмыстар</t>
  </si>
  <si>
    <t>Жұмыссыздарды кәсіптік даярлау және қайта даярлау</t>
  </si>
  <si>
    <t xml:space="preserve">Халықты жұмыспен қамту саласында азаматтарды әлеуметтік қорғау жөніндегі қосымша шаралар </t>
  </si>
  <si>
    <t>Жеке және заңды тұлғаларға, оның ішінде шаруа (фермерлік) қожалықтарына берілетін субсидиялар</t>
  </si>
  <si>
    <t>Мүгедек адамдарды жұмысқа орналастыру үшін арнайы жұмыс орындарын құруға жұмыс берушінің шығындарын субсидиялау</t>
  </si>
  <si>
    <t>"Алмалы" мүгедектігі бар адамдарды әлеуметтік оңалту орталығы КММ</t>
  </si>
  <si>
    <t>2026 жылғы қаңтар айына арналған талдау</t>
  </si>
  <si>
    <t>2026 жылға арналған қаржы жоспары</t>
  </si>
  <si>
    <t>Жыл басынан бастап қаржыландыру жоспары</t>
  </si>
  <si>
    <t>міндеттемелер</t>
  </si>
  <si>
    <t>төлемдер</t>
  </si>
  <si>
    <t>Жыл басынан бері қабылданған міндеттемелердің жалпы сомасы</t>
  </si>
  <si>
    <t>Орындалған міндеттемелер</t>
  </si>
  <si>
    <t>Бұрын төленген айлар</t>
  </si>
  <si>
    <t>ғымдағы ай үшін</t>
  </si>
  <si>
    <t>Жыл басынан бері</t>
  </si>
  <si>
    <t xml:space="preserve"> 30.02.2026 қалдық</t>
  </si>
  <si>
    <t>% игерілуі</t>
  </si>
  <si>
    <t>Өтелмеген қабылданған міндеттемелер</t>
  </si>
  <si>
    <t>Жвл басынан берң қабылданбаған міндеттемелер көлемі (міндеттемелер жоспарына қатысты қалған қаражат)</t>
  </si>
  <si>
    <t xml:space="preserve">Жоспардан ауытқу , орындалудың күтілімі </t>
  </si>
  <si>
    <t>Жергілікті деңгейде жұмыспен қамтуды қамтамасыз ету  және халық үшін әлеуметтік бағдарламаларды іске асыру саласында мемлекеттік саясатты іске асыру жөніндегі қызметтер</t>
  </si>
  <si>
    <t>Көлік құралдарын сатып алу</t>
  </si>
  <si>
    <t>Басқа негізгі құралдарды сатып алу</t>
  </si>
  <si>
    <t>Жеке тұлғаларға аударымдар</t>
  </si>
  <si>
    <t>Басқа қызметтер мен жұмыстар үшін төлем</t>
  </si>
  <si>
    <t>Үй-жайларға, ғимараттарға, құрылыстарға және құрылғыларына күрделі жөндеу жұмыстары</t>
  </si>
  <si>
    <t>2026 жылғы ақпан айына арналған талдау</t>
  </si>
  <si>
    <t>2026 жылғы наурыз айына арналған талдау</t>
  </si>
  <si>
    <t>2026 жылғы сәуір айына арналған талдау</t>
  </si>
  <si>
    <t>2026 жылғы мамыр айына арналған талдау</t>
  </si>
  <si>
    <t>2026 жылғы маусым айына арналған талдау</t>
  </si>
  <si>
    <t>2026 жылғы шілде айына арналған талдау</t>
  </si>
  <si>
    <t>2026 жылғы тамыз айына арналған талдау</t>
  </si>
  <si>
    <t>2026 жылғы қыркүйек айына арналған талдау</t>
  </si>
  <si>
    <t>Жеке тұлғаларға берілетін субсидиялар</t>
  </si>
  <si>
    <t xml:space="preserve"> заңды тұлғаларға берілетін субсидиялар</t>
  </si>
  <si>
    <t>Айыппұлдар, айыптық төлемдер және басқа да төлемдер</t>
  </si>
  <si>
    <t>Атқару құжаттарын, сот шешімдерін мәжбүрлеп орындату</t>
  </si>
  <si>
    <t>Инновациялық гранттар және әлеуметтік кәсіпкерлік субъектілеріне арналған гранттар</t>
  </si>
  <si>
    <t>Материалдық емес активтерді сатып алу</t>
  </si>
  <si>
    <t>Басқа гранттар</t>
  </si>
  <si>
    <t>жеке тұлғаларға берілетін субсидиялар</t>
  </si>
</sst>
</file>

<file path=xl/styles.xml><?xml version="1.0" encoding="utf-8"?>
<styleSheet xmlns="http://schemas.openxmlformats.org/spreadsheetml/2006/main">
  <numFmts count="31">
    <numFmt numFmtId="43" formatCode="_-* #,##0.00\ _₸_-;\-* #,##0.00\ _₸_-;_-* &quot;-&quot;??\ _₸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.00_р_._-;\-* #,##0.00_р_._-;_-* &quot;-&quot;??_р_._-;_-@_-"/>
    <numFmt numFmtId="167" formatCode="&quot;Т&quot;#,##0;[Red]\-&quot;Т&quot;#,##0"/>
    <numFmt numFmtId="168" formatCode="&quot;Т&quot;#,##0;\-&quot;Т&quot;#,##0"/>
    <numFmt numFmtId="169" formatCode="_-* ###,0&quot;.&quot;00&quot;$&quot;_-;\-* ###,0&quot;.&quot;00&quot;$&quot;_-;_-* &quot;-&quot;??&quot;$&quot;_-;_-@_-"/>
    <numFmt numFmtId="170" formatCode="_(* ##,#0&quot;.&quot;0_);_(* \(###,0&quot;.&quot;00\);_(* &quot;-&quot;??_);_(@_)"/>
    <numFmt numFmtId="171" formatCode="General_)"/>
    <numFmt numFmtId="172" formatCode="0&quot;.&quot;000"/>
    <numFmt numFmtId="173" formatCode="&quot;fl&quot;#,##0_);\(&quot;fl&quot;#,##0\)"/>
    <numFmt numFmtId="174" formatCode="&quot;fl&quot;#,##0_);[Red]\(&quot;fl&quot;#,##0\)"/>
    <numFmt numFmtId="175" formatCode="&quot;fl&quot;###,0&quot;.&quot;00_);\(&quot;fl&quot;###,0&quot;.&quot;00\)"/>
    <numFmt numFmtId="176" formatCode="_-* #,##0_?_._-;\-* #,##0_?_._-;_-* &quot;-&quot;_?_._-;_-@_-"/>
    <numFmt numFmtId="177" formatCode="_-* ###,0&quot;.&quot;00_?_._-;\-* ###,0&quot;.&quot;00_?_._-;_-* &quot;-&quot;??_?_._-;_-@_-"/>
    <numFmt numFmtId="178" formatCode="&quot;fl&quot;###,0&quot;.&quot;00_);[Red]\(&quot;fl&quot;###,0&quot;.&quot;00\)"/>
    <numFmt numFmtId="179" formatCode="_(&quot;fl&quot;* #,##0_);_(&quot;fl&quot;* \(#,##0\);_(&quot;fl&quot;* &quot;-&quot;_);_(@_)"/>
    <numFmt numFmtId="180" formatCode="_-* #,##0\ _р_._-;\-* #,##0\ _р_._-;_-* &quot;-&quot;\ _р_._-;_-@_-"/>
    <numFmt numFmtId="181" formatCode="_-* #,##0.00\ _р_._-;\-* #,##0.00\ _р_._-;_-* &quot;-&quot;??\ _р_._-;_-@_-"/>
    <numFmt numFmtId="182" formatCode="#,##0.00\ _₽"/>
    <numFmt numFmtId="183" formatCode="00"/>
    <numFmt numFmtId="184" formatCode="000"/>
    <numFmt numFmtId="185" formatCode="_-* #,##0.00&quot;р.&quot;_-;\-* #,##0.00&quot;р.&quot;_-;_-* &quot;-&quot;??&quot;р.&quot;_-;_-@_-"/>
    <numFmt numFmtId="186" formatCode="#,##0.0\ _₽"/>
    <numFmt numFmtId="187" formatCode="#,##0.00000\ _₽"/>
    <numFmt numFmtId="188" formatCode="#,##0.000\ _₽"/>
    <numFmt numFmtId="189" formatCode="#,##0\ _₽"/>
    <numFmt numFmtId="190" formatCode="#,##0.0000\ _₽"/>
    <numFmt numFmtId="191" formatCode="#,##0.000000\ _₽"/>
    <numFmt numFmtId="192" formatCode="_-* #,##0.0\ _₽_-;\-* #,##0.0\ _₽_-;_-* &quot;-&quot;??\ _₽_-;_-@_-"/>
    <numFmt numFmtId="193" formatCode="#,##0.0\ _₸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name val="Helv"/>
    </font>
    <font>
      <sz val="10"/>
      <name val="Arial Cyr"/>
    </font>
    <font>
      <b/>
      <sz val="10"/>
      <name val="Times New Roman"/>
      <family val="1"/>
      <charset val="204"/>
    </font>
    <font>
      <sz val="10"/>
      <name val="MS Sans Serif"/>
      <family val="2"/>
    </font>
    <font>
      <sz val="11"/>
      <color theme="1"/>
      <name val="Calibri"/>
      <family val="2"/>
      <charset val="204"/>
    </font>
    <font>
      <b/>
      <sz val="14"/>
      <name val="KZ 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u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9"/>
      <name val="Arial"/>
      <family val="2"/>
      <charset val="204"/>
    </font>
    <font>
      <sz val="9"/>
      <name val="Times New Roman Cyr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 Cyr"/>
      <charset val="204"/>
    </font>
    <font>
      <sz val="1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93">
    <xf numFmtId="0" fontId="0" fillId="0" borderId="0"/>
    <xf numFmtId="0" fontId="8" fillId="0" borderId="0"/>
    <xf numFmtId="0" fontId="7" fillId="0" borderId="0"/>
    <xf numFmtId="1" fontId="10" fillId="0" borderId="0">
      <alignment horizontal="center" vertical="top" wrapText="1"/>
    </xf>
    <xf numFmtId="167" fontId="10" fillId="0" borderId="3">
      <alignment horizontal="center" vertical="top" wrapText="1"/>
    </xf>
    <xf numFmtId="167" fontId="10" fillId="0" borderId="3">
      <alignment horizontal="center" vertical="top" wrapText="1"/>
    </xf>
    <xf numFmtId="167" fontId="10" fillId="0" borderId="3">
      <alignment horizontal="center" vertical="top" wrapText="1"/>
    </xf>
    <xf numFmtId="0" fontId="10" fillId="0" borderId="2">
      <alignment horizontal="center" vertical="top" wrapText="1"/>
    </xf>
    <xf numFmtId="0" fontId="10" fillId="0" borderId="4">
      <alignment horizontal="left" vertical="top"/>
    </xf>
    <xf numFmtId="0" fontId="11" fillId="2" borderId="3">
      <alignment horizontal="left" vertical="top" wrapText="1"/>
    </xf>
    <xf numFmtId="0" fontId="11" fillId="2" borderId="3">
      <alignment horizontal="left" vertical="top" wrapText="1"/>
    </xf>
    <xf numFmtId="0" fontId="12" fillId="0" borderId="3">
      <alignment horizontal="left" vertical="top" wrapText="1"/>
    </xf>
    <xf numFmtId="0" fontId="10" fillId="0" borderId="3">
      <alignment horizontal="left" vertical="top" wrapText="1"/>
    </xf>
    <xf numFmtId="0" fontId="13" fillId="0" borderId="3">
      <alignment horizontal="left" vertical="top" wrapText="1"/>
    </xf>
    <xf numFmtId="1" fontId="14" fillId="0" borderId="0">
      <alignment horizontal="center" vertical="top" wrapText="1"/>
    </xf>
    <xf numFmtId="168" fontId="14" fillId="0" borderId="3">
      <alignment horizontal="center" vertical="top" wrapText="1"/>
    </xf>
    <xf numFmtId="167" fontId="14" fillId="0" borderId="3">
      <alignment horizontal="center" vertical="top" wrapText="1"/>
    </xf>
    <xf numFmtId="167" fontId="14" fillId="0" borderId="3">
      <alignment horizontal="center" vertical="top" wrapText="1"/>
    </xf>
    <xf numFmtId="167" fontId="14" fillId="0" borderId="3">
      <alignment horizontal="center" vertical="top" wrapText="1"/>
    </xf>
    <xf numFmtId="0" fontId="9" fillId="0" borderId="0"/>
    <xf numFmtId="0" fontId="6" fillId="0" borderId="0"/>
    <xf numFmtId="166" fontId="7" fillId="0" borderId="0" applyFont="0" applyFill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7" fillId="8" borderId="5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8" fillId="16" borderId="6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0" fontId="19" fillId="16" borderId="5" applyNumberFormat="0" applyAlignment="0" applyProtection="0"/>
    <xf numFmtId="165" fontId="7" fillId="0" borderId="0" applyFon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4" fillId="17" borderId="11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0" fontId="7" fillId="5" borderId="12" applyNumberFormat="0" applyFont="0" applyAlignment="0" applyProtection="0"/>
    <xf numFmtId="9" fontId="7" fillId="0" borderId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7" fillId="0" borderId="0">
      <alignment horizontal="center"/>
    </xf>
    <xf numFmtId="0" fontId="9" fillId="0" borderId="0"/>
    <xf numFmtId="0" fontId="7" fillId="0" borderId="0">
      <alignment horizontal="center"/>
    </xf>
    <xf numFmtId="0" fontId="7" fillId="0" borderId="0">
      <alignment horizontal="center"/>
    </xf>
    <xf numFmtId="0" fontId="9" fillId="0" borderId="0"/>
    <xf numFmtId="0" fontId="31" fillId="0" borderId="0"/>
    <xf numFmtId="0" fontId="9" fillId="0" borderId="0"/>
    <xf numFmtId="0" fontId="31" fillId="0" borderId="0"/>
    <xf numFmtId="0" fontId="31" fillId="0" borderId="0"/>
    <xf numFmtId="169" fontId="9" fillId="0" borderId="0" applyFont="0" applyFill="0" applyBorder="0" applyAlignment="0" applyProtection="0"/>
    <xf numFmtId="170" fontId="32" fillId="0" borderId="0" applyFill="0" applyBorder="0" applyAlignment="0"/>
    <xf numFmtId="171" fontId="32" fillId="0" borderId="0" applyFill="0" applyBorder="0" applyAlignment="0"/>
    <xf numFmtId="172" fontId="32" fillId="0" borderId="0" applyFill="0" applyBorder="0" applyAlignment="0"/>
    <xf numFmtId="173" fontId="32" fillId="0" borderId="0" applyFill="0" applyBorder="0" applyAlignment="0"/>
    <xf numFmtId="174" fontId="32" fillId="0" borderId="0" applyFill="0" applyBorder="0" applyAlignment="0"/>
    <xf numFmtId="170" fontId="32" fillId="0" borderId="0" applyFill="0" applyBorder="0" applyAlignment="0"/>
    <xf numFmtId="175" fontId="32" fillId="0" borderId="0" applyFill="0" applyBorder="0" applyAlignment="0"/>
    <xf numFmtId="171" fontId="32" fillId="0" borderId="0" applyFill="0" applyBorder="0" applyAlignment="0"/>
    <xf numFmtId="0" fontId="33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14" fontId="34" fillId="0" borderId="0" applyFill="0" applyBorder="0" applyAlignment="0"/>
    <xf numFmtId="38" fontId="35" fillId="0" borderId="15">
      <alignment vertical="center"/>
    </xf>
    <xf numFmtId="170" fontId="32" fillId="0" borderId="0" applyFill="0" applyBorder="0" applyAlignment="0"/>
    <xf numFmtId="171" fontId="32" fillId="0" borderId="0" applyFill="0" applyBorder="0" applyAlignment="0"/>
    <xf numFmtId="170" fontId="32" fillId="0" borderId="0" applyFill="0" applyBorder="0" applyAlignment="0"/>
    <xf numFmtId="175" fontId="32" fillId="0" borderId="0" applyFill="0" applyBorder="0" applyAlignment="0"/>
    <xf numFmtId="171" fontId="32" fillId="0" borderId="0" applyFill="0" applyBorder="0" applyAlignment="0"/>
    <xf numFmtId="0" fontId="9" fillId="0" borderId="0"/>
    <xf numFmtId="0" fontId="36" fillId="0" borderId="16" applyNumberFormat="0" applyAlignment="0" applyProtection="0">
      <alignment horizontal="left" vertical="center"/>
    </xf>
    <xf numFmtId="0" fontId="36" fillId="0" borderId="14">
      <alignment horizontal="left" vertical="center"/>
    </xf>
    <xf numFmtId="0" fontId="37" fillId="0" borderId="0"/>
    <xf numFmtId="0" fontId="38" fillId="0" borderId="0"/>
    <xf numFmtId="0" fontId="39" fillId="0" borderId="0"/>
    <xf numFmtId="0" fontId="40" fillId="0" borderId="0"/>
    <xf numFmtId="0" fontId="9" fillId="0" borderId="0">
      <alignment horizontal="center"/>
    </xf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/>
    <xf numFmtId="170" fontId="32" fillId="0" borderId="0" applyFill="0" applyBorder="0" applyAlignment="0"/>
    <xf numFmtId="171" fontId="32" fillId="0" borderId="0" applyFill="0" applyBorder="0" applyAlignment="0"/>
    <xf numFmtId="170" fontId="32" fillId="0" borderId="0" applyFill="0" applyBorder="0" applyAlignment="0"/>
    <xf numFmtId="175" fontId="32" fillId="0" borderId="0" applyFill="0" applyBorder="0" applyAlignment="0"/>
    <xf numFmtId="171" fontId="32" fillId="0" borderId="0" applyFill="0" applyBorder="0" applyAlignment="0"/>
    <xf numFmtId="0" fontId="9" fillId="0" borderId="0">
      <alignment horizontal="center"/>
    </xf>
    <xf numFmtId="0" fontId="9" fillId="0" borderId="0"/>
    <xf numFmtId="0" fontId="9" fillId="0" borderId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9" fillId="0" borderId="0"/>
    <xf numFmtId="0" fontId="42" fillId="0" borderId="0"/>
    <xf numFmtId="174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0" fontId="32" fillId="0" borderId="0" applyFill="0" applyBorder="0" applyAlignment="0"/>
    <xf numFmtId="171" fontId="32" fillId="0" borderId="0" applyFill="0" applyBorder="0" applyAlignment="0"/>
    <xf numFmtId="170" fontId="32" fillId="0" borderId="0" applyFill="0" applyBorder="0" applyAlignment="0"/>
    <xf numFmtId="175" fontId="32" fillId="0" borderId="0" applyFill="0" applyBorder="0" applyAlignment="0"/>
    <xf numFmtId="171" fontId="32" fillId="0" borderId="0" applyFill="0" applyBorder="0" applyAlignment="0"/>
    <xf numFmtId="0" fontId="9" fillId="0" borderId="0"/>
    <xf numFmtId="49" fontId="34" fillId="0" borderId="0" applyFill="0" applyBorder="0" applyAlignment="0"/>
    <xf numFmtId="178" fontId="32" fillId="0" borderId="0" applyFill="0" applyBorder="0" applyAlignment="0"/>
    <xf numFmtId="179" fontId="32" fillId="0" borderId="0" applyFill="0" applyBorder="0" applyAlignment="0"/>
    <xf numFmtId="0" fontId="9" fillId="0" borderId="0"/>
    <xf numFmtId="0" fontId="9" fillId="0" borderId="0">
      <alignment horizontal="center" textRotation="90"/>
    </xf>
    <xf numFmtId="0" fontId="43" fillId="0" borderId="0"/>
    <xf numFmtId="180" fontId="44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0" fontId="8" fillId="0" borderId="0"/>
    <xf numFmtId="183" fontId="10" fillId="0" borderId="3">
      <alignment horizontal="center" vertical="top" wrapText="1"/>
    </xf>
    <xf numFmtId="1" fontId="10" fillId="0" borderId="0">
      <alignment horizontal="center" vertical="top" wrapText="1"/>
    </xf>
    <xf numFmtId="183" fontId="10" fillId="0" borderId="0">
      <alignment horizontal="center" vertical="top" wrapText="1"/>
    </xf>
    <xf numFmtId="184" fontId="10" fillId="0" borderId="0">
      <alignment horizontal="center" vertical="top" wrapText="1"/>
    </xf>
    <xf numFmtId="184" fontId="10" fillId="0" borderId="0">
      <alignment horizontal="center" vertical="top" wrapText="1"/>
    </xf>
    <xf numFmtId="184" fontId="10" fillId="0" borderId="0">
      <alignment horizontal="center" vertical="top" wrapText="1"/>
    </xf>
    <xf numFmtId="0" fontId="10" fillId="0" borderId="0">
      <alignment horizontal="left" vertical="top" wrapText="1"/>
    </xf>
    <xf numFmtId="0" fontId="10" fillId="0" borderId="0">
      <alignment horizontal="left" vertical="top" wrapText="1"/>
    </xf>
    <xf numFmtId="0" fontId="46" fillId="0" borderId="0"/>
    <xf numFmtId="0" fontId="47" fillId="0" borderId="0"/>
    <xf numFmtId="0" fontId="48" fillId="0" borderId="0">
      <alignment horizontal="center" vertical="top"/>
    </xf>
    <xf numFmtId="0" fontId="10" fillId="0" borderId="17">
      <alignment horizontal="center" textRotation="90" wrapText="1"/>
    </xf>
    <xf numFmtId="0" fontId="10" fillId="0" borderId="17">
      <alignment horizontal="center" vertical="center" wrapText="1"/>
    </xf>
    <xf numFmtId="185" fontId="7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6">
    <xf numFmtId="0" fontId="0" fillId="0" borderId="0" xfId="0"/>
    <xf numFmtId="186" fontId="45" fillId="0" borderId="0" xfId="1" applyNumberFormat="1" applyFont="1" applyFill="1" applyAlignment="1">
      <alignment horizontal="left"/>
    </xf>
    <xf numFmtId="186" fontId="53" fillId="0" borderId="0" xfId="1" applyNumberFormat="1" applyFont="1" applyFill="1" applyAlignment="1">
      <alignment horizontal="left"/>
    </xf>
    <xf numFmtId="186" fontId="50" fillId="0" borderId="1" xfId="0" applyNumberFormat="1" applyFont="1" applyFill="1" applyBorder="1" applyAlignment="1">
      <alignment horizontal="justify" wrapText="1"/>
    </xf>
    <xf numFmtId="186" fontId="51" fillId="0" borderId="1" xfId="0" applyNumberFormat="1" applyFont="1" applyFill="1" applyBorder="1" applyAlignment="1">
      <alignment horizontal="justify" vertical="top"/>
    </xf>
    <xf numFmtId="186" fontId="8" fillId="0" borderId="1" xfId="0" applyNumberFormat="1" applyFont="1" applyFill="1" applyBorder="1" applyAlignment="1">
      <alignment horizontal="justify" wrapText="1"/>
    </xf>
    <xf numFmtId="186" fontId="56" fillId="0" borderId="0" xfId="1" applyNumberFormat="1" applyFont="1" applyFill="1" applyAlignment="1">
      <alignment horizontal="left" vertical="center"/>
    </xf>
    <xf numFmtId="186" fontId="57" fillId="0" borderId="0" xfId="1" applyNumberFormat="1" applyFont="1" applyFill="1" applyAlignment="1">
      <alignment horizontal="left" vertical="center"/>
    </xf>
    <xf numFmtId="186" fontId="57" fillId="0" borderId="1" xfId="0" applyNumberFormat="1" applyFont="1" applyFill="1" applyBorder="1" applyAlignment="1">
      <alignment horizontal="left" vertical="center"/>
    </xf>
    <xf numFmtId="186" fontId="56" fillId="0" borderId="1" xfId="0" applyNumberFormat="1" applyFont="1" applyFill="1" applyBorder="1" applyAlignment="1">
      <alignment horizontal="left" vertical="center"/>
    </xf>
    <xf numFmtId="189" fontId="57" fillId="0" borderId="1" xfId="0" applyNumberFormat="1" applyFont="1" applyFill="1" applyBorder="1" applyAlignment="1">
      <alignment horizontal="left" vertical="center" wrapText="1"/>
    </xf>
    <xf numFmtId="189" fontId="58" fillId="0" borderId="1" xfId="0" applyNumberFormat="1" applyFont="1" applyFill="1" applyBorder="1" applyAlignment="1">
      <alignment horizontal="left" vertical="center"/>
    </xf>
    <xf numFmtId="186" fontId="58" fillId="0" borderId="1" xfId="0" applyNumberFormat="1" applyFont="1" applyFill="1" applyBorder="1" applyAlignment="1">
      <alignment horizontal="left" vertical="center"/>
    </xf>
    <xf numFmtId="186" fontId="52" fillId="0" borderId="1" xfId="0" applyNumberFormat="1" applyFont="1" applyFill="1" applyBorder="1" applyAlignment="1">
      <alignment horizontal="left" vertical="center"/>
    </xf>
    <xf numFmtId="189" fontId="52" fillId="0" borderId="1" xfId="0" applyNumberFormat="1" applyFont="1" applyFill="1" applyBorder="1" applyAlignment="1">
      <alignment horizontal="left" vertical="center"/>
    </xf>
    <xf numFmtId="186" fontId="59" fillId="0" borderId="1" xfId="0" applyNumberFormat="1" applyFont="1" applyFill="1" applyBorder="1" applyAlignment="1">
      <alignment horizontal="left" vertical="center"/>
    </xf>
    <xf numFmtId="189" fontId="59" fillId="0" borderId="1" xfId="0" applyNumberFormat="1" applyFont="1" applyFill="1" applyBorder="1" applyAlignment="1">
      <alignment horizontal="left" vertical="center"/>
    </xf>
    <xf numFmtId="49" fontId="57" fillId="0" borderId="1" xfId="0" applyNumberFormat="1" applyFont="1" applyFill="1" applyBorder="1" applyAlignment="1">
      <alignment horizontal="left" vertical="center"/>
    </xf>
    <xf numFmtId="189" fontId="60" fillId="0" borderId="1" xfId="0" applyNumberFormat="1" applyFont="1" applyFill="1" applyBorder="1" applyAlignment="1">
      <alignment horizontal="left" vertical="center"/>
    </xf>
    <xf numFmtId="189" fontId="61" fillId="0" borderId="1" xfId="0" applyNumberFormat="1" applyFont="1" applyFill="1" applyBorder="1" applyAlignment="1">
      <alignment horizontal="left" vertical="center"/>
    </xf>
    <xf numFmtId="189" fontId="62" fillId="0" borderId="1" xfId="0" applyNumberFormat="1" applyFont="1" applyFill="1" applyBorder="1" applyAlignment="1">
      <alignment horizontal="left" vertical="center"/>
    </xf>
    <xf numFmtId="189" fontId="57" fillId="0" borderId="1" xfId="0" applyNumberFormat="1" applyFont="1" applyFill="1" applyBorder="1" applyAlignment="1">
      <alignment horizontal="left" vertical="center"/>
    </xf>
    <xf numFmtId="190" fontId="50" fillId="0" borderId="1" xfId="0" applyNumberFormat="1" applyFont="1" applyFill="1" applyBorder="1" applyAlignment="1">
      <alignment horizontal="center" vertical="center" wrapText="1"/>
    </xf>
    <xf numFmtId="186" fontId="45" fillId="0" borderId="1" xfId="0" applyNumberFormat="1" applyFont="1" applyFill="1" applyBorder="1" applyAlignment="1">
      <alignment horizontal="right" vertical="center" wrapText="1"/>
    </xf>
    <xf numFmtId="187" fontId="45" fillId="0" borderId="1" xfId="0" applyNumberFormat="1" applyFont="1" applyFill="1" applyBorder="1" applyAlignment="1">
      <alignment horizontal="right" vertical="center" wrapText="1"/>
    </xf>
    <xf numFmtId="190" fontId="45" fillId="0" borderId="1" xfId="0" applyNumberFormat="1" applyFont="1" applyFill="1" applyBorder="1" applyAlignment="1">
      <alignment horizontal="right" vertical="center" wrapText="1"/>
    </xf>
    <xf numFmtId="186" fontId="50" fillId="0" borderId="1" xfId="0" applyNumberFormat="1" applyFont="1" applyFill="1" applyBorder="1" applyAlignment="1">
      <alignment horizontal="right" vertical="center" wrapText="1"/>
    </xf>
    <xf numFmtId="187" fontId="50" fillId="0" borderId="1" xfId="0" applyNumberFormat="1" applyFont="1" applyFill="1" applyBorder="1" applyAlignment="1">
      <alignment horizontal="right" vertical="center" wrapText="1"/>
    </xf>
    <xf numFmtId="190" fontId="50" fillId="0" borderId="1" xfId="0" applyNumberFormat="1" applyFont="1" applyFill="1" applyBorder="1" applyAlignment="1">
      <alignment horizontal="right" vertical="center" wrapText="1"/>
    </xf>
    <xf numFmtId="187" fontId="45" fillId="0" borderId="1" xfId="0" applyNumberFormat="1" applyFont="1" applyFill="1" applyBorder="1" applyAlignment="1">
      <alignment horizontal="right" vertical="center"/>
    </xf>
    <xf numFmtId="182" fontId="45" fillId="0" borderId="1" xfId="0" applyNumberFormat="1" applyFont="1" applyFill="1" applyBorder="1" applyAlignment="1">
      <alignment horizontal="right"/>
    </xf>
    <xf numFmtId="190" fontId="45" fillId="0" borderId="1" xfId="0" applyNumberFormat="1" applyFont="1" applyFill="1" applyBorder="1" applyAlignment="1">
      <alignment horizontal="right"/>
    </xf>
    <xf numFmtId="187" fontId="45" fillId="0" borderId="1" xfId="0" applyNumberFormat="1" applyFont="1" applyFill="1" applyBorder="1" applyAlignment="1">
      <alignment horizontal="right"/>
    </xf>
    <xf numFmtId="188" fontId="45" fillId="0" borderId="1" xfId="0" applyNumberFormat="1" applyFont="1" applyFill="1" applyBorder="1" applyAlignment="1">
      <alignment horizontal="right" vertical="center"/>
    </xf>
    <xf numFmtId="186" fontId="50" fillId="0" borderId="1" xfId="0" applyNumberFormat="1" applyFont="1" applyFill="1" applyBorder="1" applyAlignment="1">
      <alignment horizontal="right"/>
    </xf>
    <xf numFmtId="187" fontId="50" fillId="0" borderId="1" xfId="0" applyNumberFormat="1" applyFont="1" applyFill="1" applyBorder="1" applyAlignment="1">
      <alignment horizontal="right" vertical="center"/>
    </xf>
    <xf numFmtId="187" fontId="50" fillId="0" borderId="1" xfId="0" applyNumberFormat="1" applyFont="1" applyFill="1" applyBorder="1" applyAlignment="1">
      <alignment horizontal="right"/>
    </xf>
    <xf numFmtId="186" fontId="50" fillId="0" borderId="1" xfId="0" applyNumberFormat="1" applyFont="1" applyFill="1" applyBorder="1" applyAlignment="1">
      <alignment horizontal="right" vertical="center"/>
    </xf>
    <xf numFmtId="188" fontId="45" fillId="0" borderId="1" xfId="0" applyNumberFormat="1" applyFont="1" applyFill="1" applyBorder="1" applyAlignment="1">
      <alignment horizontal="right" vertical="center" wrapText="1"/>
    </xf>
    <xf numFmtId="186" fontId="65" fillId="0" borderId="1" xfId="0" applyNumberFormat="1" applyFont="1" applyFill="1" applyBorder="1" applyAlignment="1">
      <alignment horizontal="right" vertical="center" wrapText="1"/>
    </xf>
    <xf numFmtId="182" fontId="45" fillId="0" borderId="1" xfId="0" applyNumberFormat="1" applyFont="1" applyFill="1" applyBorder="1" applyAlignment="1">
      <alignment horizontal="right" vertical="center" wrapText="1"/>
    </xf>
    <xf numFmtId="189" fontId="50" fillId="0" borderId="1" xfId="0" applyNumberFormat="1" applyFont="1" applyFill="1" applyBorder="1" applyAlignment="1">
      <alignment horizontal="right" vertical="center" wrapText="1"/>
    </xf>
    <xf numFmtId="182" fontId="45" fillId="0" borderId="1" xfId="0" applyNumberFormat="1" applyFont="1" applyFill="1" applyBorder="1" applyAlignment="1">
      <alignment horizontal="right" vertical="center"/>
    </xf>
    <xf numFmtId="0" fontId="45" fillId="0" borderId="1" xfId="0" quotePrefix="1" applyFont="1" applyFill="1" applyBorder="1"/>
    <xf numFmtId="0" fontId="45" fillId="0" borderId="1" xfId="0" applyFont="1" applyFill="1" applyBorder="1"/>
    <xf numFmtId="0" fontId="50" fillId="0" borderId="1" xfId="0" applyFont="1" applyFill="1" applyBorder="1"/>
    <xf numFmtId="0" fontId="50" fillId="0" borderId="1" xfId="0" applyFont="1" applyFill="1" applyBorder="1" applyAlignment="1">
      <alignment horizontal="center" vertical="center"/>
    </xf>
    <xf numFmtId="3" fontId="50" fillId="0" borderId="1" xfId="1058" applyNumberFormat="1" applyFont="1" applyFill="1" applyBorder="1" applyAlignment="1">
      <alignment horizontal="right" wrapText="1"/>
    </xf>
    <xf numFmtId="192" fontId="50" fillId="0" borderId="1" xfId="1092" applyNumberFormat="1" applyFont="1" applyFill="1" applyBorder="1" applyAlignment="1">
      <alignment vertical="center" wrapText="1"/>
    </xf>
    <xf numFmtId="192" fontId="50" fillId="0" borderId="1" xfId="1092" applyNumberFormat="1" applyFont="1" applyFill="1" applyBorder="1" applyAlignment="1">
      <alignment horizontal="right" wrapText="1"/>
    </xf>
    <xf numFmtId="192" fontId="50" fillId="0" borderId="1" xfId="1092" applyNumberFormat="1" applyFont="1" applyFill="1" applyBorder="1" applyAlignment="1">
      <alignment horizontal="left" wrapText="1"/>
    </xf>
    <xf numFmtId="3" fontId="45" fillId="0" borderId="1" xfId="1058" applyNumberFormat="1" applyFont="1" applyFill="1" applyBorder="1" applyAlignment="1">
      <alignment horizontal="justify" vertical="top" wrapText="1"/>
    </xf>
    <xf numFmtId="0" fontId="45" fillId="0" borderId="1" xfId="0" applyFont="1" applyFill="1" applyBorder="1" applyAlignment="1">
      <alignment horizontal="center" vertical="center"/>
    </xf>
    <xf numFmtId="3" fontId="45" fillId="0" borderId="1" xfId="1058" applyNumberFormat="1" applyFont="1" applyFill="1" applyBorder="1" applyAlignment="1">
      <alignment horizontal="justify" wrapText="1"/>
    </xf>
    <xf numFmtId="49" fontId="45" fillId="0" borderId="1" xfId="0" applyNumberFormat="1" applyFont="1" applyFill="1" applyBorder="1"/>
    <xf numFmtId="3" fontId="50" fillId="0" borderId="1" xfId="0" applyNumberFormat="1" applyFont="1" applyFill="1" applyBorder="1" applyAlignment="1">
      <alignment horizontal="left" vertical="center" wrapText="1"/>
    </xf>
    <xf numFmtId="182" fontId="50" fillId="0" borderId="1" xfId="0" applyNumberFormat="1" applyFont="1" applyFill="1" applyBorder="1" applyAlignment="1">
      <alignment horizontal="right" vertical="center" wrapText="1"/>
    </xf>
    <xf numFmtId="49" fontId="58" fillId="0" borderId="1" xfId="0" applyNumberFormat="1" applyFont="1" applyFill="1" applyBorder="1" applyAlignment="1">
      <alignment horizontal="left" vertical="center"/>
    </xf>
    <xf numFmtId="49" fontId="65" fillId="0" borderId="1" xfId="0" applyNumberFormat="1" applyFont="1" applyFill="1" applyBorder="1" applyAlignment="1">
      <alignment horizontal="left" vertical="center"/>
    </xf>
    <xf numFmtId="186" fontId="45" fillId="0" borderId="1" xfId="0" applyNumberFormat="1" applyFont="1" applyFill="1" applyBorder="1" applyAlignment="1">
      <alignment horizontal="right" vertical="center"/>
    </xf>
    <xf numFmtId="190" fontId="45" fillId="0" borderId="1" xfId="0" applyNumberFormat="1" applyFont="1" applyFill="1" applyBorder="1" applyAlignment="1">
      <alignment horizontal="right" vertical="center"/>
    </xf>
    <xf numFmtId="193" fontId="50" fillId="0" borderId="1" xfId="0" applyNumberFormat="1" applyFont="1" applyFill="1" applyBorder="1" applyAlignment="1">
      <alignment horizontal="center" vertical="center" wrapText="1"/>
    </xf>
    <xf numFmtId="186" fontId="50" fillId="0" borderId="0" xfId="1" applyNumberFormat="1" applyFont="1" applyFill="1"/>
    <xf numFmtId="190" fontId="50" fillId="0" borderId="0" xfId="1" applyNumberFormat="1" applyFont="1" applyFill="1"/>
    <xf numFmtId="186" fontId="64" fillId="0" borderId="0" xfId="1" applyNumberFormat="1" applyFont="1" applyFill="1"/>
    <xf numFmtId="186" fontId="50" fillId="0" borderId="0" xfId="1" applyNumberFormat="1" applyFont="1" applyFill="1" applyAlignment="1">
      <alignment horizontal="center" vertical="center"/>
    </xf>
    <xf numFmtId="182" fontId="65" fillId="0" borderId="1" xfId="0" applyNumberFormat="1" applyFont="1" applyFill="1" applyBorder="1" applyAlignment="1">
      <alignment horizontal="right" vertical="center"/>
    </xf>
    <xf numFmtId="186" fontId="45" fillId="0" borderId="1" xfId="0" applyNumberFormat="1" applyFont="1" applyFill="1" applyBorder="1" applyAlignment="1">
      <alignment horizontal="justify" wrapText="1"/>
    </xf>
    <xf numFmtId="186" fontId="65" fillId="0" borderId="1" xfId="0" applyNumberFormat="1" applyFont="1" applyFill="1" applyBorder="1" applyAlignment="1">
      <alignment horizontal="right" vertical="center"/>
    </xf>
    <xf numFmtId="189" fontId="56" fillId="0" borderId="1" xfId="0" applyNumberFormat="1" applyFont="1" applyFill="1" applyBorder="1" applyAlignment="1">
      <alignment horizontal="left" vertical="center"/>
    </xf>
    <xf numFmtId="186" fontId="64" fillId="0" borderId="1" xfId="0" applyNumberFormat="1" applyFont="1" applyFill="1" applyBorder="1" applyAlignment="1">
      <alignment horizontal="right" vertical="center"/>
    </xf>
    <xf numFmtId="190" fontId="50" fillId="0" borderId="1" xfId="0" applyNumberFormat="1" applyFont="1" applyFill="1" applyBorder="1" applyAlignment="1">
      <alignment horizontal="right" vertical="center"/>
    </xf>
    <xf numFmtId="186" fontId="50" fillId="0" borderId="1" xfId="1" applyNumberFormat="1" applyFont="1" applyFill="1" applyBorder="1" applyAlignment="1">
      <alignment horizontal="right" vertical="center"/>
    </xf>
    <xf numFmtId="186" fontId="45" fillId="0" borderId="0" xfId="1" applyNumberFormat="1" applyFont="1" applyFill="1"/>
    <xf numFmtId="186" fontId="45" fillId="0" borderId="1" xfId="1" applyNumberFormat="1" applyFont="1" applyFill="1" applyBorder="1" applyAlignment="1">
      <alignment horizontal="right" vertical="center"/>
    </xf>
    <xf numFmtId="188" fontId="50" fillId="0" borderId="1" xfId="0" applyNumberFormat="1" applyFont="1" applyFill="1" applyBorder="1" applyAlignment="1">
      <alignment horizontal="right" vertical="center"/>
    </xf>
    <xf numFmtId="189" fontId="56" fillId="0" borderId="1" xfId="0" applyNumberFormat="1" applyFont="1" applyFill="1" applyBorder="1" applyAlignment="1">
      <alignment horizontal="left" vertical="center" wrapText="1"/>
    </xf>
    <xf numFmtId="186" fontId="45" fillId="0" borderId="1" xfId="0" applyNumberFormat="1" applyFont="1" applyFill="1" applyBorder="1" applyAlignment="1">
      <alignment wrapText="1"/>
    </xf>
    <xf numFmtId="186" fontId="50" fillId="0" borderId="1" xfId="0" applyNumberFormat="1" applyFont="1" applyFill="1" applyBorder="1" applyAlignment="1">
      <alignment horizontal="justify" vertical="top" wrapText="1"/>
    </xf>
    <xf numFmtId="186" fontId="45" fillId="0" borderId="1" xfId="0" applyNumberFormat="1" applyFont="1" applyFill="1" applyBorder="1" applyAlignment="1">
      <alignment horizontal="justify" vertical="top" wrapText="1"/>
    </xf>
    <xf numFmtId="186" fontId="50" fillId="0" borderId="1" xfId="802" applyNumberFormat="1" applyFont="1" applyFill="1" applyBorder="1" applyAlignment="1">
      <alignment horizontal="right" vertical="center"/>
    </xf>
    <xf numFmtId="192" fontId="45" fillId="0" borderId="1" xfId="2" applyNumberFormat="1" applyFont="1" applyFill="1" applyBorder="1" applyAlignment="1">
      <alignment horizontal="right" vertical="center"/>
    </xf>
    <xf numFmtId="186" fontId="45" fillId="0" borderId="1" xfId="2" applyNumberFormat="1" applyFont="1" applyFill="1" applyBorder="1" applyAlignment="1">
      <alignment horizontal="right" vertical="center"/>
    </xf>
    <xf numFmtId="186" fontId="50" fillId="0" borderId="1" xfId="2" applyNumberFormat="1" applyFont="1" applyFill="1" applyBorder="1" applyAlignment="1">
      <alignment horizontal="right" vertical="center"/>
    </xf>
    <xf numFmtId="182" fontId="45" fillId="0" borderId="1" xfId="2" applyNumberFormat="1" applyFont="1" applyFill="1" applyBorder="1" applyAlignment="1">
      <alignment horizontal="right" vertical="center"/>
    </xf>
    <xf numFmtId="186" fontId="45" fillId="0" borderId="1" xfId="802" applyNumberFormat="1" applyFont="1" applyFill="1" applyBorder="1" applyAlignment="1">
      <alignment horizontal="right" vertical="center"/>
    </xf>
    <xf numFmtId="186" fontId="50" fillId="0" borderId="1" xfId="0" applyNumberFormat="1" applyFont="1" applyFill="1" applyBorder="1" applyAlignment="1">
      <alignment horizontal="justify" vertical="center" wrapText="1"/>
    </xf>
    <xf numFmtId="186" fontId="50" fillId="0" borderId="0" xfId="1" applyNumberFormat="1" applyFont="1" applyFill="1" applyAlignment="1">
      <alignment vertical="center"/>
    </xf>
    <xf numFmtId="189" fontId="45" fillId="0" borderId="1" xfId="1" applyNumberFormat="1" applyFont="1" applyFill="1" applyBorder="1" applyAlignment="1">
      <alignment horizontal="right" vertical="center"/>
    </xf>
    <xf numFmtId="187" fontId="45" fillId="0" borderId="1" xfId="1" applyNumberFormat="1" applyFont="1" applyFill="1" applyBorder="1" applyAlignment="1">
      <alignment horizontal="right" vertical="center"/>
    </xf>
    <xf numFmtId="187" fontId="50" fillId="0" borderId="1" xfId="1" applyNumberFormat="1" applyFont="1" applyFill="1" applyBorder="1" applyAlignment="1">
      <alignment horizontal="right" vertical="center"/>
    </xf>
    <xf numFmtId="190" fontId="45" fillId="0" borderId="1" xfId="1" applyNumberFormat="1" applyFont="1" applyFill="1" applyBorder="1" applyAlignment="1">
      <alignment horizontal="right" vertical="center"/>
    </xf>
    <xf numFmtId="190" fontId="50" fillId="0" borderId="1" xfId="802" applyNumberFormat="1" applyFont="1" applyFill="1" applyBorder="1" applyAlignment="1">
      <alignment horizontal="right" vertical="center"/>
    </xf>
    <xf numFmtId="187" fontId="50" fillId="0" borderId="1" xfId="802" applyNumberFormat="1" applyFont="1" applyFill="1" applyBorder="1" applyAlignment="1">
      <alignment horizontal="right" vertical="center"/>
    </xf>
    <xf numFmtId="188" fontId="50" fillId="0" borderId="1" xfId="1" applyNumberFormat="1" applyFont="1" applyFill="1" applyBorder="1" applyAlignment="1">
      <alignment horizontal="right" vertical="center"/>
    </xf>
    <xf numFmtId="186" fontId="54" fillId="0" borderId="0" xfId="1" applyNumberFormat="1" applyFont="1" applyFill="1"/>
    <xf numFmtId="188" fontId="45" fillId="0" borderId="1" xfId="1" applyNumberFormat="1" applyFont="1" applyFill="1" applyBorder="1" applyAlignment="1">
      <alignment horizontal="right" vertical="center"/>
    </xf>
    <xf numFmtId="189" fontId="63" fillId="0" borderId="1" xfId="0" applyNumberFormat="1" applyFont="1" applyFill="1" applyBorder="1" applyAlignment="1">
      <alignment horizontal="left" vertical="center"/>
    </xf>
    <xf numFmtId="186" fontId="45" fillId="0" borderId="1" xfId="0" applyNumberFormat="1" applyFont="1" applyFill="1" applyBorder="1" applyAlignment="1">
      <alignment horizontal="right"/>
    </xf>
    <xf numFmtId="188" fontId="45" fillId="0" borderId="1" xfId="0" applyNumberFormat="1" applyFont="1" applyFill="1" applyBorder="1" applyAlignment="1">
      <alignment horizontal="right"/>
    </xf>
    <xf numFmtId="186" fontId="56" fillId="0" borderId="1" xfId="1" applyNumberFormat="1" applyFont="1" applyFill="1" applyBorder="1" applyAlignment="1">
      <alignment horizontal="left" vertical="center"/>
    </xf>
    <xf numFmtId="191" fontId="50" fillId="0" borderId="1" xfId="802" applyNumberFormat="1" applyFont="1" applyFill="1" applyBorder="1" applyAlignment="1">
      <alignment horizontal="right" vertical="center"/>
    </xf>
    <xf numFmtId="187" fontId="45" fillId="0" borderId="1" xfId="802" applyNumberFormat="1" applyFont="1" applyFill="1" applyBorder="1" applyAlignment="1">
      <alignment horizontal="right" vertical="center"/>
    </xf>
    <xf numFmtId="186" fontId="57" fillId="0" borderId="1" xfId="1" applyNumberFormat="1" applyFont="1" applyFill="1" applyBorder="1" applyAlignment="1">
      <alignment horizontal="left" vertical="center"/>
    </xf>
    <xf numFmtId="190" fontId="45" fillId="0" borderId="1" xfId="802" applyNumberFormat="1" applyFont="1" applyFill="1" applyBorder="1" applyAlignment="1">
      <alignment horizontal="right" vertical="center"/>
    </xf>
    <xf numFmtId="188" fontId="50" fillId="0" borderId="1" xfId="0" applyNumberFormat="1" applyFont="1" applyFill="1" applyBorder="1" applyAlignment="1">
      <alignment horizontal="right" vertical="center" wrapText="1"/>
    </xf>
    <xf numFmtId="186" fontId="67" fillId="0" borderId="1" xfId="0" applyNumberFormat="1" applyFont="1" applyFill="1" applyBorder="1" applyAlignment="1">
      <alignment horizontal="justify" vertical="top"/>
    </xf>
    <xf numFmtId="188" fontId="50" fillId="0" borderId="1" xfId="0" applyNumberFormat="1" applyFont="1" applyFill="1" applyBorder="1" applyAlignment="1">
      <alignment horizontal="right"/>
    </xf>
    <xf numFmtId="188" fontId="45" fillId="0" borderId="1" xfId="2" applyNumberFormat="1" applyFont="1" applyFill="1" applyBorder="1" applyAlignment="1">
      <alignment horizontal="right" vertical="center"/>
    </xf>
    <xf numFmtId="188" fontId="45" fillId="0" borderId="1" xfId="802" applyNumberFormat="1" applyFont="1" applyFill="1" applyBorder="1" applyAlignment="1">
      <alignment horizontal="right" vertical="center"/>
    </xf>
    <xf numFmtId="188" fontId="50" fillId="0" borderId="1" xfId="802" applyNumberFormat="1" applyFont="1" applyFill="1" applyBorder="1" applyAlignment="1">
      <alignment horizontal="right" vertical="center"/>
    </xf>
    <xf numFmtId="186" fontId="68" fillId="0" borderId="0" xfId="1" applyNumberFormat="1" applyFont="1" applyFill="1"/>
    <xf numFmtId="186" fontId="69" fillId="0" borderId="0" xfId="1" applyNumberFormat="1" applyFont="1" applyFill="1"/>
    <xf numFmtId="186" fontId="55" fillId="0" borderId="0" xfId="1" applyNumberFormat="1" applyFont="1" applyFill="1"/>
    <xf numFmtId="187" fontId="50" fillId="0" borderId="1" xfId="0" quotePrefix="1" applyNumberFormat="1" applyFont="1" applyFill="1" applyBorder="1" applyAlignment="1">
      <alignment horizontal="right" vertical="center"/>
    </xf>
    <xf numFmtId="189" fontId="66" fillId="0" borderId="1" xfId="0" applyNumberFormat="1" applyFont="1" applyFill="1" applyBorder="1" applyAlignment="1">
      <alignment horizontal="left" vertical="center"/>
    </xf>
    <xf numFmtId="0" fontId="45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1" xfId="0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Fill="1" applyBorder="1" applyAlignment="1">
      <alignment vertical="center" wrapText="1"/>
    </xf>
    <xf numFmtId="49" fontId="50" fillId="0" borderId="1" xfId="0" applyNumberFormat="1" applyFont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justify" vertical="center" wrapText="1"/>
    </xf>
    <xf numFmtId="187" fontId="45" fillId="0" borderId="1" xfId="2" applyNumberFormat="1" applyFont="1" applyFill="1" applyBorder="1" applyAlignment="1">
      <alignment horizontal="right" vertical="center"/>
    </xf>
    <xf numFmtId="187" fontId="50" fillId="0" borderId="1" xfId="2" applyNumberFormat="1" applyFont="1" applyFill="1" applyBorder="1" applyAlignment="1">
      <alignment horizontal="right" vertical="center"/>
    </xf>
    <xf numFmtId="186" fontId="45" fillId="0" borderId="1" xfId="0" applyNumberFormat="1" applyFont="1" applyFill="1" applyBorder="1" applyAlignment="1">
      <alignment horizontal="left" vertical="center" wrapText="1"/>
    </xf>
    <xf numFmtId="186" fontId="45" fillId="0" borderId="0" xfId="1" applyNumberFormat="1" applyFont="1" applyFill="1" applyAlignment="1">
      <alignment vertical="center"/>
    </xf>
    <xf numFmtId="186" fontId="50" fillId="0" borderId="1" xfId="0" applyNumberFormat="1" applyFont="1" applyFill="1" applyBorder="1" applyAlignment="1">
      <alignment horizontal="center" vertical="center" wrapText="1"/>
    </xf>
    <xf numFmtId="186" fontId="50" fillId="0" borderId="1" xfId="0" applyNumberFormat="1" applyFont="1" applyFill="1" applyBorder="1" applyAlignment="1">
      <alignment horizontal="center" vertical="center" wrapText="1"/>
    </xf>
    <xf numFmtId="3" fontId="45" fillId="0" borderId="1" xfId="0" applyNumberFormat="1" applyFont="1" applyBorder="1" applyAlignment="1">
      <alignment horizontal="justify" wrapText="1"/>
    </xf>
    <xf numFmtId="3" fontId="45" fillId="0" borderId="1" xfId="0" applyNumberFormat="1" applyFont="1" applyFill="1" applyBorder="1" applyAlignment="1">
      <alignment horizontal="justify" vertical="top" wrapText="1"/>
    </xf>
    <xf numFmtId="0" fontId="45" fillId="0" borderId="1" xfId="0" applyFont="1" applyFill="1" applyBorder="1" applyAlignment="1">
      <alignment horizontal="left" wrapText="1"/>
    </xf>
    <xf numFmtId="0" fontId="45" fillId="0" borderId="1" xfId="0" applyFont="1" applyBorder="1" applyAlignment="1">
      <alignment horizontal="justify" vertical="top" wrapText="1"/>
    </xf>
    <xf numFmtId="0" fontId="50" fillId="0" borderId="1" xfId="0" applyFont="1" applyFill="1" applyBorder="1" applyAlignment="1">
      <alignment horizontal="justify" vertical="top" wrapText="1"/>
    </xf>
    <xf numFmtId="0" fontId="45" fillId="0" borderId="1" xfId="0" applyFont="1" applyFill="1" applyBorder="1" applyAlignment="1">
      <alignment horizontal="left" vertical="top" wrapText="1"/>
    </xf>
    <xf numFmtId="0" fontId="45" fillId="0" borderId="1" xfId="0" applyFont="1" applyFill="1" applyBorder="1" applyAlignment="1">
      <alignment horizontal="justify" vertical="top" wrapText="1"/>
    </xf>
    <xf numFmtId="3" fontId="50" fillId="0" borderId="1" xfId="0" applyNumberFormat="1" applyFont="1" applyBorder="1" applyAlignment="1">
      <alignment horizontal="left" vertical="center" wrapText="1"/>
    </xf>
    <xf numFmtId="0" fontId="45" fillId="0" borderId="1" xfId="0" applyFont="1" applyFill="1" applyBorder="1" applyAlignment="1">
      <alignment vertical="top" wrapText="1"/>
    </xf>
    <xf numFmtId="3" fontId="50" fillId="0" borderId="1" xfId="1058" applyNumberFormat="1" applyFont="1" applyFill="1" applyBorder="1" applyAlignment="1">
      <alignment horizontal="justify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Fill="1" applyBorder="1" applyAlignment="1">
      <alignment horizontal="justify" vertical="center" wrapText="1"/>
    </xf>
    <xf numFmtId="3" fontId="45" fillId="0" borderId="1" xfId="0" applyNumberFormat="1" applyFont="1" applyBorder="1" applyAlignment="1">
      <alignment horizontal="left" vertical="center" wrapText="1"/>
    </xf>
    <xf numFmtId="0" fontId="50" fillId="0" borderId="1" xfId="1" applyFont="1" applyBorder="1" applyAlignment="1">
      <alignment horizontal="left" vertical="center" wrapText="1"/>
    </xf>
    <xf numFmtId="3" fontId="45" fillId="0" borderId="1" xfId="0" applyNumberFormat="1" applyFont="1" applyFill="1" applyBorder="1" applyAlignment="1">
      <alignment horizontal="left" vertical="center" wrapText="1"/>
    </xf>
    <xf numFmtId="186" fontId="50" fillId="0" borderId="1" xfId="0" applyNumberFormat="1" applyFont="1" applyFill="1" applyBorder="1" applyAlignment="1">
      <alignment horizontal="center" vertical="center" wrapText="1"/>
    </xf>
    <xf numFmtId="186" fontId="64" fillId="0" borderId="1" xfId="0" applyNumberFormat="1" applyFont="1" applyFill="1" applyBorder="1" applyAlignment="1">
      <alignment horizontal="center" vertical="center" wrapText="1"/>
    </xf>
    <xf numFmtId="186" fontId="50" fillId="0" borderId="1" xfId="1" applyNumberFormat="1" applyFont="1" applyFill="1" applyBorder="1" applyAlignment="1">
      <alignment horizontal="center" vertical="center" wrapText="1"/>
    </xf>
    <xf numFmtId="186" fontId="50" fillId="0" borderId="1" xfId="0" applyNumberFormat="1" applyFont="1" applyFill="1" applyBorder="1" applyAlignment="1">
      <alignment horizontal="center" vertical="center"/>
    </xf>
    <xf numFmtId="3" fontId="50" fillId="0" borderId="18" xfId="0" applyNumberFormat="1" applyFont="1" applyFill="1" applyBorder="1" applyAlignment="1">
      <alignment horizontal="center" vertical="center"/>
    </xf>
    <xf numFmtId="3" fontId="50" fillId="0" borderId="19" xfId="0" applyNumberFormat="1" applyFont="1" applyFill="1" applyBorder="1" applyAlignment="1">
      <alignment horizontal="center" vertical="center"/>
    </xf>
    <xf numFmtId="0" fontId="50" fillId="0" borderId="18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3" fontId="50" fillId="0" borderId="1" xfId="0" applyNumberFormat="1" applyFont="1" applyFill="1" applyBorder="1" applyAlignment="1">
      <alignment horizontal="center" vertical="center" wrapText="1"/>
    </xf>
    <xf numFmtId="3" fontId="50" fillId="0" borderId="18" xfId="0" applyNumberFormat="1" applyFont="1" applyFill="1" applyBorder="1" applyAlignment="1">
      <alignment horizontal="center" vertical="center" wrapText="1"/>
    </xf>
    <xf numFmtId="3" fontId="50" fillId="0" borderId="19" xfId="0" applyNumberFormat="1" applyFont="1" applyFill="1" applyBorder="1" applyAlignment="1">
      <alignment horizontal="center" vertical="center" wrapText="1"/>
    </xf>
    <xf numFmtId="187" fontId="50" fillId="19" borderId="1" xfId="802" applyNumberFormat="1" applyFont="1" applyFill="1" applyBorder="1" applyAlignment="1">
      <alignment horizontal="right" vertical="center"/>
    </xf>
  </cellXfs>
  <cellStyles count="1093">
    <cellStyle name="_для Маржан" xfId="968"/>
    <cellStyle name="_Заработная плата по районам - 2006" xfId="969"/>
    <cellStyle name="_по оплате (2 вар расчета)" xfId="970"/>
    <cellStyle name="_по оплате (изм вариант 30_11_07)" xfId="971"/>
    <cellStyle name="_Свод для А.Ф." xfId="972"/>
    <cellStyle name="_Свод по ФОТ Приложение 2 для Минтруда" xfId="973"/>
    <cellStyle name="_Свод по ФОТ собств-обл. бюджет" xfId="974"/>
    <cellStyle name="_ФОРМЫ для защиты бюджета на 2006 год здрав" xfId="975"/>
    <cellStyle name="_ФОТ 2006 год Костанайская 1" xfId="976"/>
    <cellStyle name="20% - Акцент1 10" xfId="22"/>
    <cellStyle name="20% - Акцент1 11" xfId="23"/>
    <cellStyle name="20% - Акцент1 12" xfId="24"/>
    <cellStyle name="20% - Акцент1 13" xfId="25"/>
    <cellStyle name="20% - Акцент1 14" xfId="26"/>
    <cellStyle name="20% - Акцент1 15" xfId="27"/>
    <cellStyle name="20% - Акцент1 16" xfId="28"/>
    <cellStyle name="20% - Акцент1 17" xfId="29"/>
    <cellStyle name="20% - Акцент1 18" xfId="30"/>
    <cellStyle name="20% - Акцент1 19" xfId="31"/>
    <cellStyle name="20% - Акцент1 2" xfId="32"/>
    <cellStyle name="20% - Акцент1 20" xfId="33"/>
    <cellStyle name="20% - Акцент1 21" xfId="34"/>
    <cellStyle name="20% - Акцент1 22" xfId="35"/>
    <cellStyle name="20% - Акцент1 23" xfId="36"/>
    <cellStyle name="20% - Акцент1 3" xfId="37"/>
    <cellStyle name="20% - Акцент1 4" xfId="38"/>
    <cellStyle name="20% - Акцент1 5" xfId="39"/>
    <cellStyle name="20% - Акцент1 6" xfId="40"/>
    <cellStyle name="20% - Акцент1 7" xfId="41"/>
    <cellStyle name="20% - Акцент1 8" xfId="42"/>
    <cellStyle name="20% - Акцент1 9" xfId="43"/>
    <cellStyle name="20% - Акцент2 10" xfId="44"/>
    <cellStyle name="20% - Акцент2 11" xfId="45"/>
    <cellStyle name="20% - Акцент2 12" xfId="46"/>
    <cellStyle name="20% - Акцент2 13" xfId="47"/>
    <cellStyle name="20% - Акцент2 14" xfId="48"/>
    <cellStyle name="20% - Акцент2 15" xfId="49"/>
    <cellStyle name="20% - Акцент2 16" xfId="50"/>
    <cellStyle name="20% - Акцент2 17" xfId="51"/>
    <cellStyle name="20% - Акцент2 18" xfId="52"/>
    <cellStyle name="20% - Акцент2 19" xfId="53"/>
    <cellStyle name="20% - Акцент2 2" xfId="54"/>
    <cellStyle name="20% - Акцент2 20" xfId="55"/>
    <cellStyle name="20% - Акцент2 21" xfId="56"/>
    <cellStyle name="20% - Акцент2 22" xfId="57"/>
    <cellStyle name="20% - Акцент2 23" xfId="58"/>
    <cellStyle name="20% - Акцент2 3" xfId="59"/>
    <cellStyle name="20% - Акцент2 4" xfId="60"/>
    <cellStyle name="20% - Акцент2 5" xfId="61"/>
    <cellStyle name="20% - Акцент2 6" xfId="62"/>
    <cellStyle name="20% - Акцент2 7" xfId="63"/>
    <cellStyle name="20% - Акцент2 8" xfId="64"/>
    <cellStyle name="20% - Акцент2 9" xfId="65"/>
    <cellStyle name="20% - Акцент3 10" xfId="66"/>
    <cellStyle name="20% - Акцент3 11" xfId="67"/>
    <cellStyle name="20% - Акцент3 12" xfId="68"/>
    <cellStyle name="20% - Акцент3 13" xfId="69"/>
    <cellStyle name="20% - Акцент3 14" xfId="70"/>
    <cellStyle name="20% - Акцент3 15" xfId="71"/>
    <cellStyle name="20% - Акцент3 16" xfId="72"/>
    <cellStyle name="20% - Акцент3 17" xfId="73"/>
    <cellStyle name="20% - Акцент3 18" xfId="74"/>
    <cellStyle name="20% - Акцент3 19" xfId="75"/>
    <cellStyle name="20% - Акцент3 2" xfId="76"/>
    <cellStyle name="20% - Акцент3 20" xfId="77"/>
    <cellStyle name="20% - Акцент3 21" xfId="78"/>
    <cellStyle name="20% - Акцент3 22" xfId="79"/>
    <cellStyle name="20% - Акцент3 23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17" xfId="95"/>
    <cellStyle name="20% - Акцент4 18" xfId="96"/>
    <cellStyle name="20% - Акцент4 19" xfId="97"/>
    <cellStyle name="20% - Акцент4 2" xfId="98"/>
    <cellStyle name="20% - Акцент4 20" xfId="99"/>
    <cellStyle name="20% - Акцент4 21" xfId="100"/>
    <cellStyle name="20% - Акцент4 22" xfId="101"/>
    <cellStyle name="20% - Акцент4 23" xfId="102"/>
    <cellStyle name="20% - Акцент4 3" xfId="103"/>
    <cellStyle name="20% - Акцент4 4" xfId="104"/>
    <cellStyle name="20% - Акцент4 5" xfId="105"/>
    <cellStyle name="20% - Акцент4 6" xfId="106"/>
    <cellStyle name="20% - Акцент4 7" xfId="107"/>
    <cellStyle name="20% - Акцент4 8" xfId="108"/>
    <cellStyle name="20% - Акцент4 9" xfId="109"/>
    <cellStyle name="20% - Акцент5 10" xfId="110"/>
    <cellStyle name="20% - Акцент5 11" xfId="111"/>
    <cellStyle name="20% - Акцент5 12" xfId="112"/>
    <cellStyle name="20% - Акцент5 13" xfId="113"/>
    <cellStyle name="20% - Акцент5 14" xfId="114"/>
    <cellStyle name="20% - Акцент5 15" xfId="115"/>
    <cellStyle name="20% - Акцент5 16" xfId="116"/>
    <cellStyle name="20% - Акцент5 17" xfId="117"/>
    <cellStyle name="20% - Акцент5 18" xfId="118"/>
    <cellStyle name="20% - Акцент5 19" xfId="119"/>
    <cellStyle name="20% - Акцент5 2" xfId="120"/>
    <cellStyle name="20% - Акцент5 20" xfId="121"/>
    <cellStyle name="20% - Акцент5 21" xfId="122"/>
    <cellStyle name="20% - Акцент5 22" xfId="123"/>
    <cellStyle name="20% - Акцент5 23" xfId="124"/>
    <cellStyle name="20% - Акцент5 3" xfId="125"/>
    <cellStyle name="20% - Акцент5 4" xfId="126"/>
    <cellStyle name="20% - Акцент5 5" xfId="127"/>
    <cellStyle name="20% - Акцент5 6" xfId="128"/>
    <cellStyle name="20% - Акцент5 7" xfId="129"/>
    <cellStyle name="20% - Акцент5 8" xfId="130"/>
    <cellStyle name="20% - Акцент5 9" xfId="131"/>
    <cellStyle name="20% - Акцент6 10" xfId="132"/>
    <cellStyle name="20% - Акцент6 11" xfId="133"/>
    <cellStyle name="20% - Акцент6 12" xfId="134"/>
    <cellStyle name="20% - Акцент6 13" xfId="135"/>
    <cellStyle name="20% - Акцент6 14" xfId="136"/>
    <cellStyle name="20% - Акцент6 15" xfId="137"/>
    <cellStyle name="20% - Акцент6 16" xfId="138"/>
    <cellStyle name="20% - Акцент6 17" xfId="139"/>
    <cellStyle name="20% - Акцент6 18" xfId="140"/>
    <cellStyle name="20% - Акцент6 19" xfId="141"/>
    <cellStyle name="20% - Акцент6 2" xfId="142"/>
    <cellStyle name="20% - Акцент6 20" xfId="143"/>
    <cellStyle name="20% - Акцент6 21" xfId="144"/>
    <cellStyle name="20% - Акцент6 22" xfId="145"/>
    <cellStyle name="20% - Акцент6 23" xfId="146"/>
    <cellStyle name="20% - Акцент6 3" xfId="147"/>
    <cellStyle name="20% - Акцент6 4" xfId="148"/>
    <cellStyle name="20% - Акцент6 5" xfId="149"/>
    <cellStyle name="20% - Акцент6 6" xfId="150"/>
    <cellStyle name="20% - Акцент6 7" xfId="151"/>
    <cellStyle name="20% - Акцент6 8" xfId="152"/>
    <cellStyle name="20% - Акцент6 9" xfId="153"/>
    <cellStyle name="40% - Акцент1 10" xfId="154"/>
    <cellStyle name="40% - Акцент1 11" xfId="155"/>
    <cellStyle name="40% - Акцент1 12" xfId="156"/>
    <cellStyle name="40% - Акцент1 13" xfId="157"/>
    <cellStyle name="40% - Акцент1 14" xfId="158"/>
    <cellStyle name="40% - Акцент1 15" xfId="159"/>
    <cellStyle name="40% - Акцент1 16" xfId="160"/>
    <cellStyle name="40% - Акцент1 17" xfId="161"/>
    <cellStyle name="40% - Акцент1 18" xfId="162"/>
    <cellStyle name="40% - Акцент1 19" xfId="163"/>
    <cellStyle name="40% - Акцент1 2" xfId="164"/>
    <cellStyle name="40% - Акцент1 20" xfId="165"/>
    <cellStyle name="40% - Акцент1 21" xfId="166"/>
    <cellStyle name="40% - Акцент1 22" xfId="167"/>
    <cellStyle name="40% - Акцент1 23" xfId="168"/>
    <cellStyle name="40% - Акцент1 3" xfId="169"/>
    <cellStyle name="40% - Акцент1 4" xfId="170"/>
    <cellStyle name="40% - Акцент1 5" xfId="171"/>
    <cellStyle name="40% - Акцент1 6" xfId="172"/>
    <cellStyle name="40% - Акцент1 7" xfId="173"/>
    <cellStyle name="40% - Акцент1 8" xfId="174"/>
    <cellStyle name="40% - Акцент1 9" xfId="175"/>
    <cellStyle name="40% - Акцент2 10" xfId="176"/>
    <cellStyle name="40% - Акцент2 11" xfId="177"/>
    <cellStyle name="40% - Акцент2 12" xfId="178"/>
    <cellStyle name="40% - Акцент2 13" xfId="179"/>
    <cellStyle name="40% - Акцент2 14" xfId="180"/>
    <cellStyle name="40% - Акцент2 15" xfId="181"/>
    <cellStyle name="40% - Акцент2 16" xfId="182"/>
    <cellStyle name="40% - Акцент2 17" xfId="183"/>
    <cellStyle name="40% - Акцент2 18" xfId="184"/>
    <cellStyle name="40% - Акцент2 19" xfId="185"/>
    <cellStyle name="40% - Акцент2 2" xfId="186"/>
    <cellStyle name="40% - Акцент2 20" xfId="187"/>
    <cellStyle name="40% - Акцент2 21" xfId="188"/>
    <cellStyle name="40% - Акцент2 22" xfId="189"/>
    <cellStyle name="40% - Акцент2 23" xfId="190"/>
    <cellStyle name="40% - Акцент2 3" xfId="191"/>
    <cellStyle name="40% - Акцент2 4" xfId="192"/>
    <cellStyle name="40% - Акцент2 5" xfId="193"/>
    <cellStyle name="40% - Акцент2 6" xfId="194"/>
    <cellStyle name="40% - Акцент2 7" xfId="195"/>
    <cellStyle name="40% - Акцент2 8" xfId="196"/>
    <cellStyle name="40% - Акцент2 9" xfId="197"/>
    <cellStyle name="40% - Акцент3 10" xfId="198"/>
    <cellStyle name="40% - Акцент3 11" xfId="199"/>
    <cellStyle name="40% - Акцент3 12" xfId="200"/>
    <cellStyle name="40% - Акцент3 13" xfId="201"/>
    <cellStyle name="40% - Акцент3 14" xfId="202"/>
    <cellStyle name="40% - Акцент3 15" xfId="203"/>
    <cellStyle name="40% - Акцент3 16" xfId="204"/>
    <cellStyle name="40% - Акцент3 17" xfId="205"/>
    <cellStyle name="40% - Акцент3 18" xfId="206"/>
    <cellStyle name="40% - Акцент3 19" xfId="207"/>
    <cellStyle name="40% - Акцент3 2" xfId="208"/>
    <cellStyle name="40% - Акцент3 20" xfId="209"/>
    <cellStyle name="40% - Акцент3 21" xfId="210"/>
    <cellStyle name="40% - Акцент3 22" xfId="211"/>
    <cellStyle name="40% - Акцент3 23" xfId="212"/>
    <cellStyle name="40% - Акцент3 3" xfId="213"/>
    <cellStyle name="40% - Акцент3 4" xfId="214"/>
    <cellStyle name="40% - Акцент3 5" xfId="215"/>
    <cellStyle name="40% - Акцент3 6" xfId="216"/>
    <cellStyle name="40% - Акцент3 7" xfId="217"/>
    <cellStyle name="40% - Акцент3 8" xfId="218"/>
    <cellStyle name="40% - Акцент3 9" xfId="219"/>
    <cellStyle name="40% - Акцент4 10" xfId="220"/>
    <cellStyle name="40% - Акцент4 11" xfId="221"/>
    <cellStyle name="40% - Акцент4 12" xfId="222"/>
    <cellStyle name="40% - Акцент4 13" xfId="223"/>
    <cellStyle name="40% - Акцент4 14" xfId="224"/>
    <cellStyle name="40% - Акцент4 15" xfId="225"/>
    <cellStyle name="40% - Акцент4 16" xfId="226"/>
    <cellStyle name="40% - Акцент4 17" xfId="227"/>
    <cellStyle name="40% - Акцент4 18" xfId="228"/>
    <cellStyle name="40% - Акцент4 19" xfId="229"/>
    <cellStyle name="40% - Акцент4 2" xfId="230"/>
    <cellStyle name="40% - Акцент4 20" xfId="231"/>
    <cellStyle name="40% - Акцент4 21" xfId="232"/>
    <cellStyle name="40% - Акцент4 22" xfId="233"/>
    <cellStyle name="40% - Акцент4 23" xfId="234"/>
    <cellStyle name="40% - Акцент4 3" xfId="235"/>
    <cellStyle name="40% - Акцент4 4" xfId="236"/>
    <cellStyle name="40% - Акцент4 5" xfId="237"/>
    <cellStyle name="40% - Акцент4 6" xfId="238"/>
    <cellStyle name="40% - Акцент4 7" xfId="239"/>
    <cellStyle name="40% - Акцент4 8" xfId="240"/>
    <cellStyle name="40% - Акцент4 9" xfId="241"/>
    <cellStyle name="40% - Акцент5 10" xfId="242"/>
    <cellStyle name="40% - Акцент5 11" xfId="243"/>
    <cellStyle name="40% - Акцент5 12" xfId="244"/>
    <cellStyle name="40% - Акцент5 13" xfId="245"/>
    <cellStyle name="40% - Акцент5 14" xfId="246"/>
    <cellStyle name="40% - Акцент5 15" xfId="247"/>
    <cellStyle name="40% - Акцент5 16" xfId="248"/>
    <cellStyle name="40% - Акцент5 17" xfId="249"/>
    <cellStyle name="40% - Акцент5 18" xfId="250"/>
    <cellStyle name="40% - Акцент5 19" xfId="251"/>
    <cellStyle name="40% - Акцент5 2" xfId="252"/>
    <cellStyle name="40% - Акцент5 20" xfId="253"/>
    <cellStyle name="40% - Акцент5 21" xfId="254"/>
    <cellStyle name="40% - Акцент5 22" xfId="255"/>
    <cellStyle name="40% - Акцент5 23" xfId="256"/>
    <cellStyle name="40% - Акцент5 3" xfId="257"/>
    <cellStyle name="40% - Акцент5 4" xfId="258"/>
    <cellStyle name="40% - Акцент5 5" xfId="259"/>
    <cellStyle name="40% - Акцент5 6" xfId="260"/>
    <cellStyle name="40% - Акцент5 7" xfId="261"/>
    <cellStyle name="40% - Акцент5 8" xfId="262"/>
    <cellStyle name="40% - Акцент5 9" xfId="263"/>
    <cellStyle name="40% - Акцент6 10" xfId="264"/>
    <cellStyle name="40% - Акцент6 11" xfId="265"/>
    <cellStyle name="40% - Акцент6 12" xfId="266"/>
    <cellStyle name="40% - Акцент6 13" xfId="267"/>
    <cellStyle name="40% - Акцент6 14" xfId="268"/>
    <cellStyle name="40% - Акцент6 15" xfId="269"/>
    <cellStyle name="40% - Акцент6 16" xfId="270"/>
    <cellStyle name="40% - Акцент6 17" xfId="271"/>
    <cellStyle name="40% - Акцент6 18" xfId="272"/>
    <cellStyle name="40% - Акцент6 19" xfId="273"/>
    <cellStyle name="40% - Акцент6 2" xfId="274"/>
    <cellStyle name="40% - Акцент6 20" xfId="275"/>
    <cellStyle name="40% - Акцент6 21" xfId="276"/>
    <cellStyle name="40% - Акцент6 22" xfId="277"/>
    <cellStyle name="40% - Акцент6 23" xfId="278"/>
    <cellStyle name="40% - Акцент6 3" xfId="279"/>
    <cellStyle name="40% - Акцент6 4" xfId="280"/>
    <cellStyle name="40% - Акцент6 5" xfId="281"/>
    <cellStyle name="40% - Акцент6 6" xfId="282"/>
    <cellStyle name="40% - Акцент6 7" xfId="283"/>
    <cellStyle name="40% - Акцент6 8" xfId="284"/>
    <cellStyle name="40% - Акцент6 9" xfId="285"/>
    <cellStyle name="60% - Акцент1 10" xfId="286"/>
    <cellStyle name="60% - Акцент1 11" xfId="287"/>
    <cellStyle name="60% - Акцент1 12" xfId="288"/>
    <cellStyle name="60% - Акцент1 13" xfId="289"/>
    <cellStyle name="60% - Акцент1 14" xfId="290"/>
    <cellStyle name="60% - Акцент1 15" xfId="291"/>
    <cellStyle name="60% - Акцент1 16" xfId="292"/>
    <cellStyle name="60% - Акцент1 17" xfId="293"/>
    <cellStyle name="60% - Акцент1 18" xfId="294"/>
    <cellStyle name="60% - Акцент1 19" xfId="295"/>
    <cellStyle name="60% - Акцент1 2" xfId="296"/>
    <cellStyle name="60% - Акцент1 20" xfId="297"/>
    <cellStyle name="60% - Акцент1 21" xfId="298"/>
    <cellStyle name="60% - Акцент1 22" xfId="299"/>
    <cellStyle name="60% - Акцент1 23" xfId="300"/>
    <cellStyle name="60% - Акцент1 3" xfId="301"/>
    <cellStyle name="60% - Акцент1 4" xfId="302"/>
    <cellStyle name="60% - Акцент1 5" xfId="303"/>
    <cellStyle name="60% - Акцент1 6" xfId="304"/>
    <cellStyle name="60% - Акцент1 7" xfId="305"/>
    <cellStyle name="60% - Акцент1 8" xfId="306"/>
    <cellStyle name="60% - Акцент1 9" xfId="307"/>
    <cellStyle name="60% - Акцент2 10" xfId="308"/>
    <cellStyle name="60% - Акцент2 11" xfId="309"/>
    <cellStyle name="60% - Акцент2 12" xfId="310"/>
    <cellStyle name="60% - Акцент2 13" xfId="311"/>
    <cellStyle name="60% - Акцент2 14" xfId="312"/>
    <cellStyle name="60% - Акцент2 15" xfId="313"/>
    <cellStyle name="60% - Акцент2 16" xfId="314"/>
    <cellStyle name="60% - Акцент2 17" xfId="315"/>
    <cellStyle name="60% - Акцент2 18" xfId="316"/>
    <cellStyle name="60% - Акцент2 19" xfId="317"/>
    <cellStyle name="60% - Акцент2 2" xfId="318"/>
    <cellStyle name="60% - Акцент2 20" xfId="319"/>
    <cellStyle name="60% - Акцент2 21" xfId="320"/>
    <cellStyle name="60% - Акцент2 22" xfId="321"/>
    <cellStyle name="60% - Акцент2 23" xfId="322"/>
    <cellStyle name="60% - Акцент2 3" xfId="323"/>
    <cellStyle name="60% - Акцент2 4" xfId="324"/>
    <cellStyle name="60% - Акцент2 5" xfId="325"/>
    <cellStyle name="60% - Акцент2 6" xfId="326"/>
    <cellStyle name="60% - Акцент2 7" xfId="327"/>
    <cellStyle name="60% - Акцент2 8" xfId="328"/>
    <cellStyle name="60% - Акцент2 9" xfId="329"/>
    <cellStyle name="60% - Акцент3 10" xfId="330"/>
    <cellStyle name="60% - Акцент3 11" xfId="331"/>
    <cellStyle name="60% - Акцент3 12" xfId="332"/>
    <cellStyle name="60% - Акцент3 13" xfId="333"/>
    <cellStyle name="60% - Акцент3 14" xfId="334"/>
    <cellStyle name="60% - Акцент3 15" xfId="335"/>
    <cellStyle name="60% - Акцент3 16" xfId="336"/>
    <cellStyle name="60% - Акцент3 17" xfId="337"/>
    <cellStyle name="60% - Акцент3 18" xfId="338"/>
    <cellStyle name="60% - Акцент3 19" xfId="339"/>
    <cellStyle name="60% - Акцент3 2" xfId="340"/>
    <cellStyle name="60% - Акцент3 20" xfId="341"/>
    <cellStyle name="60% - Акцент3 21" xfId="342"/>
    <cellStyle name="60% - Акцент3 22" xfId="343"/>
    <cellStyle name="60% - Акцент3 23" xfId="344"/>
    <cellStyle name="60% - Акцент3 3" xfId="345"/>
    <cellStyle name="60% - Акцент3 4" xfId="346"/>
    <cellStyle name="60% - Акцент3 5" xfId="347"/>
    <cellStyle name="60% - Акцент3 6" xfId="348"/>
    <cellStyle name="60% - Акцент3 7" xfId="349"/>
    <cellStyle name="60% - Акцент3 8" xfId="350"/>
    <cellStyle name="60% - Акцент3 9" xfId="351"/>
    <cellStyle name="60% - Акцент4 10" xfId="352"/>
    <cellStyle name="60% - Акцент4 11" xfId="353"/>
    <cellStyle name="60% - Акцент4 12" xfId="354"/>
    <cellStyle name="60% - Акцент4 13" xfId="355"/>
    <cellStyle name="60% - Акцент4 14" xfId="356"/>
    <cellStyle name="60% - Акцент4 15" xfId="357"/>
    <cellStyle name="60% - Акцент4 16" xfId="358"/>
    <cellStyle name="60% - Акцент4 17" xfId="359"/>
    <cellStyle name="60% - Акцент4 18" xfId="360"/>
    <cellStyle name="60% - Акцент4 19" xfId="361"/>
    <cellStyle name="60% - Акцент4 2" xfId="362"/>
    <cellStyle name="60% - Акцент4 20" xfId="363"/>
    <cellStyle name="60% - Акцент4 21" xfId="364"/>
    <cellStyle name="60% - Акцент4 22" xfId="365"/>
    <cellStyle name="60% - Акцент4 23" xfId="366"/>
    <cellStyle name="60% - Акцент4 3" xfId="367"/>
    <cellStyle name="60% - Акцент4 4" xfId="368"/>
    <cellStyle name="60% - Акцент4 5" xfId="369"/>
    <cellStyle name="60% - Акцент4 6" xfId="370"/>
    <cellStyle name="60% - Акцент4 7" xfId="371"/>
    <cellStyle name="60% - Акцент4 8" xfId="372"/>
    <cellStyle name="60% - Акцент4 9" xfId="373"/>
    <cellStyle name="60% - Акцент5 10" xfId="374"/>
    <cellStyle name="60% - Акцент5 11" xfId="375"/>
    <cellStyle name="60% - Акцент5 12" xfId="376"/>
    <cellStyle name="60% - Акцент5 13" xfId="377"/>
    <cellStyle name="60% - Акцент5 14" xfId="378"/>
    <cellStyle name="60% - Акцент5 15" xfId="379"/>
    <cellStyle name="60% - Акцент5 16" xfId="380"/>
    <cellStyle name="60% - Акцент5 17" xfId="381"/>
    <cellStyle name="60% - Акцент5 18" xfId="382"/>
    <cellStyle name="60% - Акцент5 19" xfId="383"/>
    <cellStyle name="60% - Акцент5 2" xfId="384"/>
    <cellStyle name="60% - Акцент5 20" xfId="385"/>
    <cellStyle name="60% - Акцент5 21" xfId="386"/>
    <cellStyle name="60% - Акцент5 22" xfId="387"/>
    <cellStyle name="60% - Акцент5 23" xfId="388"/>
    <cellStyle name="60% - Акцент5 3" xfId="389"/>
    <cellStyle name="60% - Акцент5 4" xfId="390"/>
    <cellStyle name="60% - Акцент5 5" xfId="391"/>
    <cellStyle name="60% - Акцент5 6" xfId="392"/>
    <cellStyle name="60% - Акцент5 7" xfId="393"/>
    <cellStyle name="60% - Акцент5 8" xfId="394"/>
    <cellStyle name="60% - Акцент5 9" xfId="395"/>
    <cellStyle name="60% - Акцент6 10" xfId="396"/>
    <cellStyle name="60% - Акцент6 11" xfId="397"/>
    <cellStyle name="60% - Акцент6 12" xfId="398"/>
    <cellStyle name="60% - Акцент6 13" xfId="399"/>
    <cellStyle name="60% - Акцент6 14" xfId="400"/>
    <cellStyle name="60% - Акцент6 15" xfId="401"/>
    <cellStyle name="60% - Акцент6 16" xfId="402"/>
    <cellStyle name="60% - Акцент6 17" xfId="403"/>
    <cellStyle name="60% - Акцент6 18" xfId="404"/>
    <cellStyle name="60% - Акцент6 19" xfId="405"/>
    <cellStyle name="60% - Акцент6 2" xfId="406"/>
    <cellStyle name="60% - Акцент6 20" xfId="407"/>
    <cellStyle name="60% - Акцент6 21" xfId="408"/>
    <cellStyle name="60% - Акцент6 22" xfId="409"/>
    <cellStyle name="60% - Акцент6 23" xfId="410"/>
    <cellStyle name="60% - Акцент6 3" xfId="411"/>
    <cellStyle name="60% - Акцент6 4" xfId="412"/>
    <cellStyle name="60% - Акцент6 5" xfId="413"/>
    <cellStyle name="60% - Акцент6 6" xfId="414"/>
    <cellStyle name="60% - Акцент6 7" xfId="415"/>
    <cellStyle name="60% - Акцент6 8" xfId="416"/>
    <cellStyle name="60% - Акцент6 9" xfId="417"/>
    <cellStyle name="Aaia?iue_laroux" xfId="977"/>
    <cellStyle name="Calc Currency (0)" xfId="978"/>
    <cellStyle name="Calc Currency (2)" xfId="979"/>
    <cellStyle name="Calc Percent (0)" xfId="980"/>
    <cellStyle name="Calc Percent (1)" xfId="981"/>
    <cellStyle name="Calc Percent (2)" xfId="982"/>
    <cellStyle name="Calc Units (0)" xfId="983"/>
    <cellStyle name="Calc Units (1)" xfId="984"/>
    <cellStyle name="Calc Units (2)" xfId="985"/>
    <cellStyle name="Cell1" xfId="3"/>
    <cellStyle name="Cell2" xfId="1042"/>
    <cellStyle name="Cell3" xfId="4"/>
    <cellStyle name="Cell4" xfId="5"/>
    <cellStyle name="Cell5" xfId="6"/>
    <cellStyle name="Column1" xfId="1043"/>
    <cellStyle name="Column2" xfId="1044"/>
    <cellStyle name="Column3" xfId="1045"/>
    <cellStyle name="Column4" xfId="1046"/>
    <cellStyle name="Column5" xfId="1047"/>
    <cellStyle name="Column7" xfId="1048"/>
    <cellStyle name="Comma [0]_#6 Temps &amp; Contractors" xfId="986"/>
    <cellStyle name="Comma [00]" xfId="987"/>
    <cellStyle name="Comma_#6 Temps &amp; Contractors" xfId="988"/>
    <cellStyle name="Currency [0]_#6 Temps &amp; Contractors" xfId="989"/>
    <cellStyle name="Currency [00]" xfId="990"/>
    <cellStyle name="Currency_#6 Temps &amp; Contractors" xfId="991"/>
    <cellStyle name="Data" xfId="1049"/>
    <cellStyle name="Date Short" xfId="992"/>
    <cellStyle name="DELTA" xfId="993"/>
    <cellStyle name="Enter Currency (0)" xfId="994"/>
    <cellStyle name="Enter Currency (2)" xfId="995"/>
    <cellStyle name="Enter Units (0)" xfId="996"/>
    <cellStyle name="Enter Units (1)" xfId="997"/>
    <cellStyle name="Enter Units (2)" xfId="998"/>
    <cellStyle name="Flag" xfId="999"/>
    <cellStyle name="Header1" xfId="1000"/>
    <cellStyle name="Header2" xfId="1001"/>
    <cellStyle name="Heading1" xfId="1002"/>
    <cellStyle name="Heading2" xfId="7"/>
    <cellStyle name="Heading3" xfId="1003"/>
    <cellStyle name="Heading4" xfId="8"/>
    <cellStyle name="Heading5" xfId="1004"/>
    <cellStyle name="Heading6" xfId="1005"/>
    <cellStyle name="Horizontal" xfId="1006"/>
    <cellStyle name="Hyperlink" xfId="1007"/>
    <cellStyle name="Iau?iue_23_1 " xfId="1008"/>
    <cellStyle name="Link Currency (0)" xfId="1009"/>
    <cellStyle name="Link Currency (2)" xfId="1010"/>
    <cellStyle name="Link Units (0)" xfId="1011"/>
    <cellStyle name="Link Units (1)" xfId="1012"/>
    <cellStyle name="Link Units (2)" xfId="1013"/>
    <cellStyle name="Matrix" xfId="1014"/>
    <cellStyle name="Name1" xfId="9"/>
    <cellStyle name="Name2" xfId="10"/>
    <cellStyle name="Name3" xfId="11"/>
    <cellStyle name="Name4" xfId="12"/>
    <cellStyle name="Name5" xfId="13"/>
    <cellStyle name="Normal 5" xfId="1050"/>
    <cellStyle name="Normal 6" xfId="1051"/>
    <cellStyle name="Normal_# 41-Market &amp;Trends" xfId="1015"/>
    <cellStyle name="Note" xfId="1016"/>
    <cellStyle name="Oeiainiaue [0]_laroux" xfId="1017"/>
    <cellStyle name="Oeiainiaue_laroux" xfId="1018"/>
    <cellStyle name="Option" xfId="1019"/>
    <cellStyle name="OptionHeading" xfId="1020"/>
    <cellStyle name="Percent [0]" xfId="1021"/>
    <cellStyle name="Percent [00]" xfId="1022"/>
    <cellStyle name="Percent_#6 Temps &amp; Contractors" xfId="1023"/>
    <cellStyle name="PrePop Currency (0)" xfId="1024"/>
    <cellStyle name="PrePop Currency (2)" xfId="1025"/>
    <cellStyle name="PrePop Units (0)" xfId="1026"/>
    <cellStyle name="PrePop Units (1)" xfId="1027"/>
    <cellStyle name="PrePop Units (2)" xfId="1028"/>
    <cellStyle name="Price" xfId="1029"/>
    <cellStyle name="Text Indent A" xfId="1030"/>
    <cellStyle name="Text Indent B" xfId="1031"/>
    <cellStyle name="Text Indent C" xfId="1032"/>
    <cellStyle name="Title1" xfId="1052"/>
    <cellStyle name="TitleCol1" xfId="1053"/>
    <cellStyle name="TitleCol2" xfId="1054"/>
    <cellStyle name="Unit" xfId="1033"/>
    <cellStyle name="Vertical" xfId="1034"/>
    <cellStyle name="White1" xfId="14"/>
    <cellStyle name="White2" xfId="15"/>
    <cellStyle name="White3" xfId="16"/>
    <cellStyle name="White4" xfId="17"/>
    <cellStyle name="White5" xfId="18"/>
    <cellStyle name="Акцент1 10" xfId="418"/>
    <cellStyle name="Акцент1 11" xfId="419"/>
    <cellStyle name="Акцент1 12" xfId="420"/>
    <cellStyle name="Акцент1 13" xfId="421"/>
    <cellStyle name="Акцент1 14" xfId="422"/>
    <cellStyle name="Акцент1 15" xfId="423"/>
    <cellStyle name="Акцент1 16" xfId="424"/>
    <cellStyle name="Акцент1 17" xfId="425"/>
    <cellStyle name="Акцент1 18" xfId="426"/>
    <cellStyle name="Акцент1 19" xfId="427"/>
    <cellStyle name="Акцент1 2" xfId="428"/>
    <cellStyle name="Акцент1 20" xfId="429"/>
    <cellStyle name="Акцент1 21" xfId="430"/>
    <cellStyle name="Акцент1 22" xfId="431"/>
    <cellStyle name="Акцент1 23" xfId="432"/>
    <cellStyle name="Акцент1 3" xfId="433"/>
    <cellStyle name="Акцент1 4" xfId="434"/>
    <cellStyle name="Акцент1 5" xfId="435"/>
    <cellStyle name="Акцент1 6" xfId="436"/>
    <cellStyle name="Акцент1 7" xfId="437"/>
    <cellStyle name="Акцент1 8" xfId="438"/>
    <cellStyle name="Акцент1 9" xfId="439"/>
    <cellStyle name="Акцент2 10" xfId="440"/>
    <cellStyle name="Акцент2 11" xfId="441"/>
    <cellStyle name="Акцент2 12" xfId="442"/>
    <cellStyle name="Акцент2 13" xfId="443"/>
    <cellStyle name="Акцент2 14" xfId="444"/>
    <cellStyle name="Акцент2 15" xfId="445"/>
    <cellStyle name="Акцент2 16" xfId="446"/>
    <cellStyle name="Акцент2 17" xfId="447"/>
    <cellStyle name="Акцент2 18" xfId="448"/>
    <cellStyle name="Акцент2 19" xfId="449"/>
    <cellStyle name="Акцент2 2" xfId="450"/>
    <cellStyle name="Акцент2 20" xfId="451"/>
    <cellStyle name="Акцент2 21" xfId="452"/>
    <cellStyle name="Акцент2 22" xfId="453"/>
    <cellStyle name="Акцент2 23" xfId="454"/>
    <cellStyle name="Акцент2 3" xfId="455"/>
    <cellStyle name="Акцент2 4" xfId="456"/>
    <cellStyle name="Акцент2 5" xfId="457"/>
    <cellStyle name="Акцент2 6" xfId="458"/>
    <cellStyle name="Акцент2 7" xfId="459"/>
    <cellStyle name="Акцент2 8" xfId="460"/>
    <cellStyle name="Акцент2 9" xfId="461"/>
    <cellStyle name="Акцент3 10" xfId="462"/>
    <cellStyle name="Акцент3 11" xfId="463"/>
    <cellStyle name="Акцент3 12" xfId="464"/>
    <cellStyle name="Акцент3 13" xfId="465"/>
    <cellStyle name="Акцент3 14" xfId="466"/>
    <cellStyle name="Акцент3 15" xfId="467"/>
    <cellStyle name="Акцент3 16" xfId="468"/>
    <cellStyle name="Акцент3 17" xfId="469"/>
    <cellStyle name="Акцент3 18" xfId="470"/>
    <cellStyle name="Акцент3 19" xfId="471"/>
    <cellStyle name="Акцент3 2" xfId="472"/>
    <cellStyle name="Акцент3 20" xfId="473"/>
    <cellStyle name="Акцент3 21" xfId="474"/>
    <cellStyle name="Акцент3 22" xfId="475"/>
    <cellStyle name="Акцент3 23" xfId="476"/>
    <cellStyle name="Акцент3 3" xfId="477"/>
    <cellStyle name="Акцент3 4" xfId="478"/>
    <cellStyle name="Акцент3 5" xfId="479"/>
    <cellStyle name="Акцент3 6" xfId="480"/>
    <cellStyle name="Акцент3 7" xfId="481"/>
    <cellStyle name="Акцент3 8" xfId="482"/>
    <cellStyle name="Акцент3 9" xfId="483"/>
    <cellStyle name="Акцент4 10" xfId="484"/>
    <cellStyle name="Акцент4 11" xfId="485"/>
    <cellStyle name="Акцент4 12" xfId="486"/>
    <cellStyle name="Акцент4 13" xfId="487"/>
    <cellStyle name="Акцент4 14" xfId="488"/>
    <cellStyle name="Акцент4 15" xfId="489"/>
    <cellStyle name="Акцент4 16" xfId="490"/>
    <cellStyle name="Акцент4 17" xfId="491"/>
    <cellStyle name="Акцент4 18" xfId="492"/>
    <cellStyle name="Акцент4 19" xfId="493"/>
    <cellStyle name="Акцент4 2" xfId="494"/>
    <cellStyle name="Акцент4 20" xfId="495"/>
    <cellStyle name="Акцент4 21" xfId="496"/>
    <cellStyle name="Акцент4 22" xfId="497"/>
    <cellStyle name="Акцент4 23" xfId="498"/>
    <cellStyle name="Акцент4 3" xfId="499"/>
    <cellStyle name="Акцент4 4" xfId="500"/>
    <cellStyle name="Акцент4 5" xfId="501"/>
    <cellStyle name="Акцент4 6" xfId="502"/>
    <cellStyle name="Акцент4 7" xfId="503"/>
    <cellStyle name="Акцент4 8" xfId="504"/>
    <cellStyle name="Акцент4 9" xfId="505"/>
    <cellStyle name="Акцент5 10" xfId="506"/>
    <cellStyle name="Акцент5 11" xfId="507"/>
    <cellStyle name="Акцент5 12" xfId="508"/>
    <cellStyle name="Акцент5 13" xfId="509"/>
    <cellStyle name="Акцент5 14" xfId="510"/>
    <cellStyle name="Акцент5 15" xfId="511"/>
    <cellStyle name="Акцент5 16" xfId="512"/>
    <cellStyle name="Акцент5 17" xfId="513"/>
    <cellStyle name="Акцент5 18" xfId="514"/>
    <cellStyle name="Акцент5 19" xfId="515"/>
    <cellStyle name="Акцент5 2" xfId="516"/>
    <cellStyle name="Акцент5 20" xfId="517"/>
    <cellStyle name="Акцент5 21" xfId="518"/>
    <cellStyle name="Акцент5 22" xfId="519"/>
    <cellStyle name="Акцент5 23" xfId="520"/>
    <cellStyle name="Акцент5 3" xfId="521"/>
    <cellStyle name="Акцент5 4" xfId="522"/>
    <cellStyle name="Акцент5 5" xfId="523"/>
    <cellStyle name="Акцент5 6" xfId="524"/>
    <cellStyle name="Акцент5 7" xfId="525"/>
    <cellStyle name="Акцент5 8" xfId="526"/>
    <cellStyle name="Акцент5 9" xfId="527"/>
    <cellStyle name="Акцент6 10" xfId="528"/>
    <cellStyle name="Акцент6 11" xfId="529"/>
    <cellStyle name="Акцент6 12" xfId="530"/>
    <cellStyle name="Акцент6 13" xfId="531"/>
    <cellStyle name="Акцент6 14" xfId="532"/>
    <cellStyle name="Акцент6 15" xfId="533"/>
    <cellStyle name="Акцент6 16" xfId="534"/>
    <cellStyle name="Акцент6 17" xfId="535"/>
    <cellStyle name="Акцент6 18" xfId="536"/>
    <cellStyle name="Акцент6 19" xfId="537"/>
    <cellStyle name="Акцент6 2" xfId="538"/>
    <cellStyle name="Акцент6 20" xfId="539"/>
    <cellStyle name="Акцент6 21" xfId="540"/>
    <cellStyle name="Акцент6 22" xfId="541"/>
    <cellStyle name="Акцент6 23" xfId="542"/>
    <cellStyle name="Акцент6 3" xfId="543"/>
    <cellStyle name="Акцент6 4" xfId="544"/>
    <cellStyle name="Акцент6 5" xfId="545"/>
    <cellStyle name="Акцент6 6" xfId="546"/>
    <cellStyle name="Акцент6 7" xfId="547"/>
    <cellStyle name="Акцент6 8" xfId="548"/>
    <cellStyle name="Акцент6 9" xfId="549"/>
    <cellStyle name="Ввод  10" xfId="550"/>
    <cellStyle name="Ввод  11" xfId="551"/>
    <cellStyle name="Ввод  12" xfId="552"/>
    <cellStyle name="Ввод  13" xfId="553"/>
    <cellStyle name="Ввод  14" xfId="554"/>
    <cellStyle name="Ввод  15" xfId="555"/>
    <cellStyle name="Ввод  16" xfId="556"/>
    <cellStyle name="Ввод  17" xfId="557"/>
    <cellStyle name="Ввод  18" xfId="558"/>
    <cellStyle name="Ввод  19" xfId="559"/>
    <cellStyle name="Ввод  2" xfId="560"/>
    <cellStyle name="Ввод  20" xfId="561"/>
    <cellStyle name="Ввод  21" xfId="562"/>
    <cellStyle name="Ввод  22" xfId="563"/>
    <cellStyle name="Ввод  23" xfId="564"/>
    <cellStyle name="Ввод  3" xfId="565"/>
    <cellStyle name="Ввод  4" xfId="566"/>
    <cellStyle name="Ввод  5" xfId="567"/>
    <cellStyle name="Ввод  6" xfId="568"/>
    <cellStyle name="Ввод  7" xfId="569"/>
    <cellStyle name="Ввод  8" xfId="570"/>
    <cellStyle name="Ввод  9" xfId="571"/>
    <cellStyle name="Вывод 10" xfId="572"/>
    <cellStyle name="Вывод 11" xfId="573"/>
    <cellStyle name="Вывод 12" xfId="574"/>
    <cellStyle name="Вывод 13" xfId="575"/>
    <cellStyle name="Вывод 14" xfId="576"/>
    <cellStyle name="Вывод 15" xfId="577"/>
    <cellStyle name="Вывод 16" xfId="578"/>
    <cellStyle name="Вывод 17" xfId="579"/>
    <cellStyle name="Вывод 18" xfId="580"/>
    <cellStyle name="Вывод 19" xfId="581"/>
    <cellStyle name="Вывод 2" xfId="582"/>
    <cellStyle name="Вывод 20" xfId="583"/>
    <cellStyle name="Вывод 21" xfId="584"/>
    <cellStyle name="Вывод 22" xfId="585"/>
    <cellStyle name="Вывод 23" xfId="586"/>
    <cellStyle name="Вывод 3" xfId="587"/>
    <cellStyle name="Вывод 4" xfId="588"/>
    <cellStyle name="Вывод 5" xfId="589"/>
    <cellStyle name="Вывод 6" xfId="590"/>
    <cellStyle name="Вывод 7" xfId="591"/>
    <cellStyle name="Вывод 8" xfId="592"/>
    <cellStyle name="Вывод 9" xfId="593"/>
    <cellStyle name="Вычисление 10" xfId="594"/>
    <cellStyle name="Вычисление 11" xfId="595"/>
    <cellStyle name="Вычисление 12" xfId="596"/>
    <cellStyle name="Вычисление 13" xfId="597"/>
    <cellStyle name="Вычисление 14" xfId="598"/>
    <cellStyle name="Вычисление 15" xfId="599"/>
    <cellStyle name="Вычисление 16" xfId="600"/>
    <cellStyle name="Вычисление 17" xfId="601"/>
    <cellStyle name="Вычисление 18" xfId="602"/>
    <cellStyle name="Вычисление 19" xfId="603"/>
    <cellStyle name="Вычисление 2" xfId="604"/>
    <cellStyle name="Вычисление 20" xfId="605"/>
    <cellStyle name="Вычисление 21" xfId="606"/>
    <cellStyle name="Вычисление 22" xfId="607"/>
    <cellStyle name="Вычисление 23" xfId="608"/>
    <cellStyle name="Вычисление 3" xfId="609"/>
    <cellStyle name="Вычисление 4" xfId="610"/>
    <cellStyle name="Вычисление 5" xfId="611"/>
    <cellStyle name="Вычисление 6" xfId="612"/>
    <cellStyle name="Вычисление 7" xfId="613"/>
    <cellStyle name="Вычисление 8" xfId="614"/>
    <cellStyle name="Вычисление 9" xfId="615"/>
    <cellStyle name="Денежный [0] 2" xfId="1077"/>
    <cellStyle name="Денежный [0] 22" xfId="616"/>
    <cellStyle name="Денежный 2" xfId="1055"/>
    <cellStyle name="Заголовок 1 10" xfId="617"/>
    <cellStyle name="Заголовок 1 11" xfId="618"/>
    <cellStyle name="Заголовок 1 12" xfId="619"/>
    <cellStyle name="Заголовок 1 13" xfId="620"/>
    <cellStyle name="Заголовок 1 14" xfId="621"/>
    <cellStyle name="Заголовок 1 15" xfId="622"/>
    <cellStyle name="Заголовок 1 16" xfId="623"/>
    <cellStyle name="Заголовок 1 17" xfId="624"/>
    <cellStyle name="Заголовок 1 18" xfId="625"/>
    <cellStyle name="Заголовок 1 19" xfId="626"/>
    <cellStyle name="Заголовок 1 2" xfId="627"/>
    <cellStyle name="Заголовок 1 20" xfId="628"/>
    <cellStyle name="Заголовок 1 21" xfId="629"/>
    <cellStyle name="Заголовок 1 22" xfId="630"/>
    <cellStyle name="Заголовок 1 23" xfId="631"/>
    <cellStyle name="Заголовок 1 3" xfId="632"/>
    <cellStyle name="Заголовок 1 4" xfId="633"/>
    <cellStyle name="Заголовок 1 5" xfId="634"/>
    <cellStyle name="Заголовок 1 6" xfId="635"/>
    <cellStyle name="Заголовок 1 7" xfId="636"/>
    <cellStyle name="Заголовок 1 8" xfId="637"/>
    <cellStyle name="Заголовок 1 9" xfId="638"/>
    <cellStyle name="Заголовок 2 10" xfId="639"/>
    <cellStyle name="Заголовок 2 11" xfId="640"/>
    <cellStyle name="Заголовок 2 12" xfId="641"/>
    <cellStyle name="Заголовок 2 13" xfId="642"/>
    <cellStyle name="Заголовок 2 14" xfId="643"/>
    <cellStyle name="Заголовок 2 15" xfId="644"/>
    <cellStyle name="Заголовок 2 16" xfId="645"/>
    <cellStyle name="Заголовок 2 17" xfId="646"/>
    <cellStyle name="Заголовок 2 18" xfId="647"/>
    <cellStyle name="Заголовок 2 19" xfId="648"/>
    <cellStyle name="Заголовок 2 2" xfId="649"/>
    <cellStyle name="Заголовок 2 20" xfId="650"/>
    <cellStyle name="Заголовок 2 21" xfId="651"/>
    <cellStyle name="Заголовок 2 22" xfId="652"/>
    <cellStyle name="Заголовок 2 23" xfId="653"/>
    <cellStyle name="Заголовок 2 3" xfId="654"/>
    <cellStyle name="Заголовок 2 4" xfId="655"/>
    <cellStyle name="Заголовок 2 5" xfId="656"/>
    <cellStyle name="Заголовок 2 6" xfId="657"/>
    <cellStyle name="Заголовок 2 7" xfId="658"/>
    <cellStyle name="Заголовок 2 8" xfId="659"/>
    <cellStyle name="Заголовок 2 9" xfId="660"/>
    <cellStyle name="Заголовок 3 10" xfId="661"/>
    <cellStyle name="Заголовок 3 11" xfId="662"/>
    <cellStyle name="Заголовок 3 12" xfId="663"/>
    <cellStyle name="Заголовок 3 13" xfId="664"/>
    <cellStyle name="Заголовок 3 14" xfId="665"/>
    <cellStyle name="Заголовок 3 15" xfId="666"/>
    <cellStyle name="Заголовок 3 16" xfId="667"/>
    <cellStyle name="Заголовок 3 17" xfId="668"/>
    <cellStyle name="Заголовок 3 18" xfId="669"/>
    <cellStyle name="Заголовок 3 19" xfId="670"/>
    <cellStyle name="Заголовок 3 2" xfId="671"/>
    <cellStyle name="Заголовок 3 20" xfId="672"/>
    <cellStyle name="Заголовок 3 21" xfId="673"/>
    <cellStyle name="Заголовок 3 22" xfId="674"/>
    <cellStyle name="Заголовок 3 23" xfId="675"/>
    <cellStyle name="Заголовок 3 3" xfId="676"/>
    <cellStyle name="Заголовок 3 4" xfId="677"/>
    <cellStyle name="Заголовок 3 5" xfId="678"/>
    <cellStyle name="Заголовок 3 6" xfId="679"/>
    <cellStyle name="Заголовок 3 7" xfId="680"/>
    <cellStyle name="Заголовок 3 8" xfId="681"/>
    <cellStyle name="Заголовок 3 9" xfId="682"/>
    <cellStyle name="Заголовок 4 10" xfId="683"/>
    <cellStyle name="Заголовок 4 11" xfId="684"/>
    <cellStyle name="Заголовок 4 12" xfId="685"/>
    <cellStyle name="Заголовок 4 13" xfId="686"/>
    <cellStyle name="Заголовок 4 14" xfId="687"/>
    <cellStyle name="Заголовок 4 15" xfId="688"/>
    <cellStyle name="Заголовок 4 16" xfId="689"/>
    <cellStyle name="Заголовок 4 17" xfId="690"/>
    <cellStyle name="Заголовок 4 18" xfId="691"/>
    <cellStyle name="Заголовок 4 19" xfId="692"/>
    <cellStyle name="Заголовок 4 2" xfId="693"/>
    <cellStyle name="Заголовок 4 20" xfId="694"/>
    <cellStyle name="Заголовок 4 21" xfId="695"/>
    <cellStyle name="Заголовок 4 22" xfId="696"/>
    <cellStyle name="Заголовок 4 23" xfId="697"/>
    <cellStyle name="Заголовок 4 3" xfId="698"/>
    <cellStyle name="Заголовок 4 4" xfId="699"/>
    <cellStyle name="Заголовок 4 5" xfId="700"/>
    <cellStyle name="Заголовок 4 6" xfId="701"/>
    <cellStyle name="Заголовок 4 7" xfId="702"/>
    <cellStyle name="Заголовок 4 8" xfId="703"/>
    <cellStyle name="Заголовок 4 9" xfId="704"/>
    <cellStyle name="Итог 10" xfId="705"/>
    <cellStyle name="Итог 11" xfId="706"/>
    <cellStyle name="Итог 12" xfId="707"/>
    <cellStyle name="Итог 13" xfId="708"/>
    <cellStyle name="Итог 14" xfId="709"/>
    <cellStyle name="Итог 15" xfId="710"/>
    <cellStyle name="Итог 16" xfId="711"/>
    <cellStyle name="Итог 17" xfId="712"/>
    <cellStyle name="Итог 18" xfId="713"/>
    <cellStyle name="Итог 19" xfId="714"/>
    <cellStyle name="Итог 2" xfId="715"/>
    <cellStyle name="Итог 20" xfId="716"/>
    <cellStyle name="Итог 21" xfId="717"/>
    <cellStyle name="Итог 22" xfId="718"/>
    <cellStyle name="Итог 23" xfId="719"/>
    <cellStyle name="Итог 3" xfId="720"/>
    <cellStyle name="Итог 4" xfId="721"/>
    <cellStyle name="Итог 5" xfId="722"/>
    <cellStyle name="Итог 6" xfId="723"/>
    <cellStyle name="Итог 7" xfId="724"/>
    <cellStyle name="Итог 8" xfId="725"/>
    <cellStyle name="Итог 9" xfId="726"/>
    <cellStyle name="КАНДАГАЧ тел3-33-96" xfId="1056"/>
    <cellStyle name="Контрольная ячейка 10" xfId="727"/>
    <cellStyle name="Контрольная ячейка 11" xfId="728"/>
    <cellStyle name="Контрольная ячейка 12" xfId="729"/>
    <cellStyle name="Контрольная ячейка 13" xfId="730"/>
    <cellStyle name="Контрольная ячейка 14" xfId="731"/>
    <cellStyle name="Контрольная ячейка 15" xfId="732"/>
    <cellStyle name="Контрольная ячейка 16" xfId="733"/>
    <cellStyle name="Контрольная ячейка 17" xfId="734"/>
    <cellStyle name="Контрольная ячейка 18" xfId="735"/>
    <cellStyle name="Контрольная ячейка 19" xfId="736"/>
    <cellStyle name="Контрольная ячейка 2" xfId="737"/>
    <cellStyle name="Контрольная ячейка 20" xfId="738"/>
    <cellStyle name="Контрольная ячейка 21" xfId="739"/>
    <cellStyle name="Контрольная ячейка 22" xfId="740"/>
    <cellStyle name="Контрольная ячейка 23" xfId="741"/>
    <cellStyle name="Контрольная ячейка 3" xfId="742"/>
    <cellStyle name="Контрольная ячейка 4" xfId="743"/>
    <cellStyle name="Контрольная ячейка 5" xfId="744"/>
    <cellStyle name="Контрольная ячейка 6" xfId="745"/>
    <cellStyle name="Контрольная ячейка 7" xfId="746"/>
    <cellStyle name="Контрольная ячейка 8" xfId="747"/>
    <cellStyle name="Контрольная ячейка 9" xfId="748"/>
    <cellStyle name="Название 10" xfId="749"/>
    <cellStyle name="Название 11" xfId="750"/>
    <cellStyle name="Название 12" xfId="751"/>
    <cellStyle name="Название 13" xfId="752"/>
    <cellStyle name="Название 14" xfId="753"/>
    <cellStyle name="Название 15" xfId="754"/>
    <cellStyle name="Название 16" xfId="755"/>
    <cellStyle name="Название 17" xfId="756"/>
    <cellStyle name="Название 18" xfId="757"/>
    <cellStyle name="Название 19" xfId="758"/>
    <cellStyle name="Название 2" xfId="759"/>
    <cellStyle name="Название 20" xfId="760"/>
    <cellStyle name="Название 21" xfId="761"/>
    <cellStyle name="Название 22" xfId="762"/>
    <cellStyle name="Название 23" xfId="763"/>
    <cellStyle name="Название 3" xfId="764"/>
    <cellStyle name="Название 4" xfId="765"/>
    <cellStyle name="Название 5" xfId="766"/>
    <cellStyle name="Название 6" xfId="767"/>
    <cellStyle name="Название 7" xfId="768"/>
    <cellStyle name="Название 8" xfId="769"/>
    <cellStyle name="Название 9" xfId="770"/>
    <cellStyle name="Нейтральный 10" xfId="771"/>
    <cellStyle name="Нейтральный 11" xfId="772"/>
    <cellStyle name="Нейтральный 12" xfId="773"/>
    <cellStyle name="Нейтральный 13" xfId="774"/>
    <cellStyle name="Нейтральный 14" xfId="775"/>
    <cellStyle name="Нейтральный 15" xfId="776"/>
    <cellStyle name="Нейтральный 16" xfId="777"/>
    <cellStyle name="Нейтральный 17" xfId="778"/>
    <cellStyle name="Нейтральный 18" xfId="779"/>
    <cellStyle name="Нейтральный 19" xfId="780"/>
    <cellStyle name="Нейтральный 2" xfId="781"/>
    <cellStyle name="Нейтральный 20" xfId="782"/>
    <cellStyle name="Нейтральный 21" xfId="783"/>
    <cellStyle name="Нейтральный 22" xfId="784"/>
    <cellStyle name="Нейтральный 23" xfId="785"/>
    <cellStyle name="Нейтральный 3" xfId="786"/>
    <cellStyle name="Нейтральный 4" xfId="787"/>
    <cellStyle name="Нейтральный 5" xfId="788"/>
    <cellStyle name="Нейтральный 6" xfId="789"/>
    <cellStyle name="Нейтральный 7" xfId="790"/>
    <cellStyle name="Нейтральный 8" xfId="791"/>
    <cellStyle name="Нейтральный 9" xfId="792"/>
    <cellStyle name="Обычный" xfId="0" builtinId="0"/>
    <cellStyle name="Обычный 10" xfId="1039"/>
    <cellStyle name="Обычный 11" xfId="793"/>
    <cellStyle name="Обычный 11 2" xfId="1057"/>
    <cellStyle name="Обычный 12" xfId="794"/>
    <cellStyle name="Обычный 13" xfId="795"/>
    <cellStyle name="Обычный 14" xfId="796"/>
    <cellStyle name="Обычный 15" xfId="797"/>
    <cellStyle name="Обычный 16" xfId="798"/>
    <cellStyle name="Обычный 17" xfId="799"/>
    <cellStyle name="Обычный 18" xfId="800"/>
    <cellStyle name="Обычный 19" xfId="801"/>
    <cellStyle name="Обычный 2" xfId="1"/>
    <cellStyle name="Обычный 2 10" xfId="802"/>
    <cellStyle name="Обычный 2 11" xfId="803"/>
    <cellStyle name="Обычный 2 12" xfId="804"/>
    <cellStyle name="Обычный 2 13" xfId="805"/>
    <cellStyle name="Обычный 2 14" xfId="806"/>
    <cellStyle name="Обычный 2 15" xfId="807"/>
    <cellStyle name="Обычный 2 16" xfId="808"/>
    <cellStyle name="Обычный 2 17" xfId="809"/>
    <cellStyle name="Обычный 2 18" xfId="810"/>
    <cellStyle name="Обычный 2 19" xfId="811"/>
    <cellStyle name="Обычный 2 2" xfId="2"/>
    <cellStyle name="Обычный 2 2 2" xfId="1058"/>
    <cellStyle name="Обычный 2 20" xfId="812"/>
    <cellStyle name="Обычный 2 21" xfId="813"/>
    <cellStyle name="Обычный 2 22" xfId="814"/>
    <cellStyle name="Обычный 2 23" xfId="815"/>
    <cellStyle name="Обычный 2 24" xfId="1041"/>
    <cellStyle name="Обычный 2 3" xfId="816"/>
    <cellStyle name="Обычный 2 4" xfId="817"/>
    <cellStyle name="Обычный 2 5" xfId="818"/>
    <cellStyle name="Обычный 2 6" xfId="819"/>
    <cellStyle name="Обычный 2 7" xfId="820"/>
    <cellStyle name="Обычный 2 8" xfId="821"/>
    <cellStyle name="Обычный 2 9" xfId="822"/>
    <cellStyle name="Обычный 20" xfId="823"/>
    <cellStyle name="Обычный 21" xfId="824"/>
    <cellStyle name="Обычный 22" xfId="825"/>
    <cellStyle name="Обычный 23" xfId="1059"/>
    <cellStyle name="Обычный 24" xfId="1060"/>
    <cellStyle name="Обычный 25" xfId="1078"/>
    <cellStyle name="Обычный 26" xfId="1061"/>
    <cellStyle name="Обычный 26 2" xfId="1062"/>
    <cellStyle name="Обычный 27" xfId="1079"/>
    <cellStyle name="Обычный 28" xfId="1080"/>
    <cellStyle name="Обычный 29" xfId="1081"/>
    <cellStyle name="Обычный 3" xfId="19"/>
    <cellStyle name="Обычный 3 2" xfId="826"/>
    <cellStyle name="Обычный 3 4" xfId="1063"/>
    <cellStyle name="Обычный 32" xfId="1064"/>
    <cellStyle name="Обычный 33" xfId="1065"/>
    <cellStyle name="Обычный 34" xfId="1066"/>
    <cellStyle name="Обычный 35" xfId="1067"/>
    <cellStyle name="Обычный 4" xfId="20"/>
    <cellStyle name="Обычный 4 2" xfId="827"/>
    <cellStyle name="Обычный 4 2 2" xfId="828"/>
    <cellStyle name="Обычный 4 2 3" xfId="829"/>
    <cellStyle name="Обычный 4 2 3 2" xfId="1068"/>
    <cellStyle name="Обычный 4 2 4" xfId="1082"/>
    <cellStyle name="Обычный 4 2 5" xfId="1083"/>
    <cellStyle name="Обычный 4 2 6" xfId="1084"/>
    <cellStyle name="Обычный 4 2 7" xfId="1085"/>
    <cellStyle name="Обычный 4 5" xfId="1069"/>
    <cellStyle name="Обычный 5" xfId="830"/>
    <cellStyle name="Обычный 5 2" xfId="1070"/>
    <cellStyle name="Обычный 5 2 2" xfId="1086"/>
    <cellStyle name="Обычный 5 2 3" xfId="1087"/>
    <cellStyle name="Обычный 5 2 4" xfId="1088"/>
    <cellStyle name="Обычный 5 2 5" xfId="1089"/>
    <cellStyle name="Обычный 5 2 6" xfId="1090"/>
    <cellStyle name="Обычный 6" xfId="1038"/>
    <cellStyle name="Обычный 7" xfId="831"/>
    <cellStyle name="Обычный 7 6" xfId="1071"/>
    <cellStyle name="Обычный 7 7" xfId="1072"/>
    <cellStyle name="Обычный 8" xfId="832"/>
    <cellStyle name="Обычный 8 2" xfId="1076"/>
    <cellStyle name="Обычный 9" xfId="833"/>
    <cellStyle name="Обычный 9 8" xfId="1073"/>
    <cellStyle name="Обычный 9 9" xfId="1074"/>
    <cellStyle name="Плохой 10" xfId="834"/>
    <cellStyle name="Плохой 11" xfId="835"/>
    <cellStyle name="Плохой 12" xfId="836"/>
    <cellStyle name="Плохой 13" xfId="837"/>
    <cellStyle name="Плохой 14" xfId="838"/>
    <cellStyle name="Плохой 15" xfId="839"/>
    <cellStyle name="Плохой 16" xfId="840"/>
    <cellStyle name="Плохой 17" xfId="841"/>
    <cellStyle name="Плохой 18" xfId="842"/>
    <cellStyle name="Плохой 19" xfId="843"/>
    <cellStyle name="Плохой 2" xfId="844"/>
    <cellStyle name="Плохой 20" xfId="845"/>
    <cellStyle name="Плохой 21" xfId="846"/>
    <cellStyle name="Плохой 22" xfId="847"/>
    <cellStyle name="Плохой 23" xfId="848"/>
    <cellStyle name="Плохой 3" xfId="849"/>
    <cellStyle name="Плохой 4" xfId="850"/>
    <cellStyle name="Плохой 5" xfId="851"/>
    <cellStyle name="Плохой 6" xfId="852"/>
    <cellStyle name="Плохой 7" xfId="853"/>
    <cellStyle name="Плохой 8" xfId="854"/>
    <cellStyle name="Плохой 9" xfId="855"/>
    <cellStyle name="Пояснение 10" xfId="856"/>
    <cellStyle name="Пояснение 11" xfId="857"/>
    <cellStyle name="Пояснение 12" xfId="858"/>
    <cellStyle name="Пояснение 13" xfId="859"/>
    <cellStyle name="Пояснение 14" xfId="860"/>
    <cellStyle name="Пояснение 15" xfId="861"/>
    <cellStyle name="Пояснение 16" xfId="862"/>
    <cellStyle name="Пояснение 17" xfId="863"/>
    <cellStyle name="Пояснение 18" xfId="864"/>
    <cellStyle name="Пояснение 19" xfId="865"/>
    <cellStyle name="Пояснение 2" xfId="866"/>
    <cellStyle name="Пояснение 20" xfId="867"/>
    <cellStyle name="Пояснение 21" xfId="868"/>
    <cellStyle name="Пояснение 22" xfId="869"/>
    <cellStyle name="Пояснение 23" xfId="870"/>
    <cellStyle name="Пояснение 3" xfId="871"/>
    <cellStyle name="Пояснение 4" xfId="872"/>
    <cellStyle name="Пояснение 5" xfId="873"/>
    <cellStyle name="Пояснение 6" xfId="874"/>
    <cellStyle name="Пояснение 7" xfId="875"/>
    <cellStyle name="Пояснение 8" xfId="876"/>
    <cellStyle name="Пояснение 9" xfId="877"/>
    <cellStyle name="Примечание 10" xfId="878"/>
    <cellStyle name="Примечание 11" xfId="879"/>
    <cellStyle name="Примечание 12" xfId="880"/>
    <cellStyle name="Примечание 13" xfId="881"/>
    <cellStyle name="Примечание 14" xfId="882"/>
    <cellStyle name="Примечание 15" xfId="883"/>
    <cellStyle name="Примечание 16" xfId="884"/>
    <cellStyle name="Примечание 17" xfId="885"/>
    <cellStyle name="Примечание 18" xfId="886"/>
    <cellStyle name="Примечание 19" xfId="887"/>
    <cellStyle name="Примечание 2" xfId="888"/>
    <cellStyle name="Примечание 20" xfId="889"/>
    <cellStyle name="Примечание 21" xfId="890"/>
    <cellStyle name="Примечание 22" xfId="891"/>
    <cellStyle name="Примечание 23" xfId="892"/>
    <cellStyle name="Примечание 3" xfId="893"/>
    <cellStyle name="Примечание 4" xfId="894"/>
    <cellStyle name="Примечание 5" xfId="895"/>
    <cellStyle name="Примечание 6" xfId="896"/>
    <cellStyle name="Примечание 7" xfId="897"/>
    <cellStyle name="Примечание 8" xfId="898"/>
    <cellStyle name="Примечание 9" xfId="899"/>
    <cellStyle name="Процентный 2" xfId="900"/>
    <cellStyle name="Связанная ячейка 10" xfId="901"/>
    <cellStyle name="Связанная ячейка 11" xfId="902"/>
    <cellStyle name="Связанная ячейка 12" xfId="903"/>
    <cellStyle name="Связанная ячейка 13" xfId="904"/>
    <cellStyle name="Связанная ячейка 14" xfId="905"/>
    <cellStyle name="Связанная ячейка 15" xfId="906"/>
    <cellStyle name="Связанная ячейка 16" xfId="907"/>
    <cellStyle name="Связанная ячейка 17" xfId="908"/>
    <cellStyle name="Связанная ячейка 18" xfId="909"/>
    <cellStyle name="Связанная ячейка 19" xfId="910"/>
    <cellStyle name="Связанная ячейка 2" xfId="911"/>
    <cellStyle name="Связанная ячейка 20" xfId="912"/>
    <cellStyle name="Связанная ячейка 21" xfId="913"/>
    <cellStyle name="Связанная ячейка 22" xfId="914"/>
    <cellStyle name="Связанная ячейка 23" xfId="915"/>
    <cellStyle name="Связанная ячейка 3" xfId="916"/>
    <cellStyle name="Связанная ячейка 4" xfId="917"/>
    <cellStyle name="Связанная ячейка 5" xfId="918"/>
    <cellStyle name="Связанная ячейка 6" xfId="919"/>
    <cellStyle name="Связанная ячейка 7" xfId="920"/>
    <cellStyle name="Связанная ячейка 8" xfId="921"/>
    <cellStyle name="Связанная ячейка 9" xfId="922"/>
    <cellStyle name="Стиль 1" xfId="1035"/>
    <cellStyle name="Стиль 1 2" xfId="1075"/>
    <cellStyle name="Текст предупреждения 10" xfId="923"/>
    <cellStyle name="Текст предупреждения 11" xfId="924"/>
    <cellStyle name="Текст предупреждения 12" xfId="925"/>
    <cellStyle name="Текст предупреждения 13" xfId="926"/>
    <cellStyle name="Текст предупреждения 14" xfId="927"/>
    <cellStyle name="Текст предупреждения 15" xfId="928"/>
    <cellStyle name="Текст предупреждения 16" xfId="929"/>
    <cellStyle name="Текст предупреждения 17" xfId="930"/>
    <cellStyle name="Текст предупреждения 18" xfId="931"/>
    <cellStyle name="Текст предупреждения 19" xfId="932"/>
    <cellStyle name="Текст предупреждения 2" xfId="933"/>
    <cellStyle name="Текст предупреждения 20" xfId="934"/>
    <cellStyle name="Текст предупреждения 21" xfId="935"/>
    <cellStyle name="Текст предупреждения 22" xfId="936"/>
    <cellStyle name="Текст предупреждения 23" xfId="937"/>
    <cellStyle name="Текст предупреждения 3" xfId="938"/>
    <cellStyle name="Текст предупреждения 4" xfId="939"/>
    <cellStyle name="Текст предупреждения 5" xfId="940"/>
    <cellStyle name="Текст предупреждения 6" xfId="941"/>
    <cellStyle name="Текст предупреждения 7" xfId="942"/>
    <cellStyle name="Текст предупреждения 8" xfId="943"/>
    <cellStyle name="Текст предупреждения 9" xfId="944"/>
    <cellStyle name="Тысячи [0]_Dbf_25" xfId="1036"/>
    <cellStyle name="Тысячи_Dbf_25" xfId="1037"/>
    <cellStyle name="Финансовый" xfId="1092" builtinId="3"/>
    <cellStyle name="Финансовый 2" xfId="21"/>
    <cellStyle name="Финансовый 22" xfId="945"/>
    <cellStyle name="Финансовый 3" xfId="1040"/>
    <cellStyle name="Финансовый 4" xfId="1091"/>
    <cellStyle name="Хороший 10" xfId="946"/>
    <cellStyle name="Хороший 11" xfId="947"/>
    <cellStyle name="Хороший 12" xfId="948"/>
    <cellStyle name="Хороший 13" xfId="949"/>
    <cellStyle name="Хороший 14" xfId="950"/>
    <cellStyle name="Хороший 15" xfId="951"/>
    <cellStyle name="Хороший 16" xfId="952"/>
    <cellStyle name="Хороший 17" xfId="953"/>
    <cellStyle name="Хороший 18" xfId="954"/>
    <cellStyle name="Хороший 19" xfId="955"/>
    <cellStyle name="Хороший 2" xfId="956"/>
    <cellStyle name="Хороший 20" xfId="957"/>
    <cellStyle name="Хороший 21" xfId="958"/>
    <cellStyle name="Хороший 22" xfId="959"/>
    <cellStyle name="Хороший 23" xfId="960"/>
    <cellStyle name="Хороший 3" xfId="961"/>
    <cellStyle name="Хороший 4" xfId="962"/>
    <cellStyle name="Хороший 5" xfId="963"/>
    <cellStyle name="Хороший 6" xfId="964"/>
    <cellStyle name="Хороший 7" xfId="965"/>
    <cellStyle name="Хороший 8" xfId="966"/>
    <cellStyle name="Хороший 9" xfId="9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Tlegenov/Desktop/&#1057;&#1074;&#1077;&#1076;&#1077;&#1085;&#1080;&#1077;%20&#1087;&#1088;&#1086;&#1082;&#1091;&#1088;&#1072;&#1090;&#1091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Tusupova/Desktop/&#1057;&#1074;&#1086;&#1076;%20&#1075;&#1086;&#1089;%20&#1079;&#1072;&#1082;&#1091;&#1087;%202013&#10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2013 полугодовой"/>
      <sheetName val="2012 2 полугодие"/>
      <sheetName val="01 август 2013 года"/>
      <sheetName val="прокуратура ценовой"/>
      <sheetName val="сведение кру 2013"/>
      <sheetName val="сведение кру 2012"/>
    </sheetNames>
    <sheetDataSet>
      <sheetData sheetId="0" refreshError="1"/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Аукцион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  <cell r="B2" t="str">
            <v>001</v>
          </cell>
          <cell r="C2" t="str">
            <v>000</v>
          </cell>
        </row>
        <row r="3">
          <cell r="A3" t="str">
            <v>102</v>
          </cell>
          <cell r="B3" t="str">
            <v>002</v>
          </cell>
          <cell r="C3" t="str">
            <v>004</v>
          </cell>
        </row>
        <row r="4">
          <cell r="A4" t="str">
            <v>104</v>
          </cell>
          <cell r="B4" t="str">
            <v>003</v>
          </cell>
          <cell r="C4" t="str">
            <v>005</v>
          </cell>
        </row>
        <row r="5">
          <cell r="A5" t="str">
            <v>106</v>
          </cell>
          <cell r="B5" t="str">
            <v>004</v>
          </cell>
          <cell r="C5" t="str">
            <v>006</v>
          </cell>
        </row>
        <row r="6">
          <cell r="A6" t="str">
            <v>110</v>
          </cell>
          <cell r="B6" t="str">
            <v>005</v>
          </cell>
          <cell r="C6" t="str">
            <v>011</v>
          </cell>
        </row>
        <row r="7">
          <cell r="A7" t="str">
            <v>111</v>
          </cell>
          <cell r="B7" t="str">
            <v>006</v>
          </cell>
          <cell r="C7" t="str">
            <v>013</v>
          </cell>
        </row>
        <row r="8">
          <cell r="A8" t="str">
            <v>112</v>
          </cell>
          <cell r="B8" t="str">
            <v>007</v>
          </cell>
          <cell r="C8" t="str">
            <v>015</v>
          </cell>
        </row>
        <row r="9">
          <cell r="A9" t="str">
            <v>120</v>
          </cell>
          <cell r="B9" t="str">
            <v>008</v>
          </cell>
          <cell r="C9" t="str">
            <v>016</v>
          </cell>
        </row>
        <row r="10">
          <cell r="A10" t="str">
            <v>121</v>
          </cell>
          <cell r="B10" t="str">
            <v>009</v>
          </cell>
          <cell r="C10" t="str">
            <v>018</v>
          </cell>
        </row>
        <row r="11">
          <cell r="A11" t="str">
            <v>122</v>
          </cell>
          <cell r="B11" t="str">
            <v>010</v>
          </cell>
          <cell r="C11" t="str">
            <v>025</v>
          </cell>
        </row>
        <row r="12">
          <cell r="A12" t="str">
            <v>123</v>
          </cell>
          <cell r="B12" t="str">
            <v>011</v>
          </cell>
          <cell r="C12" t="str">
            <v>026</v>
          </cell>
        </row>
        <row r="13">
          <cell r="A13" t="str">
            <v>201</v>
          </cell>
          <cell r="B13" t="str">
            <v>012</v>
          </cell>
          <cell r="C13" t="str">
            <v>028</v>
          </cell>
        </row>
        <row r="14">
          <cell r="A14" t="str">
            <v>202</v>
          </cell>
          <cell r="B14" t="str">
            <v>013</v>
          </cell>
          <cell r="C14" t="str">
            <v>029</v>
          </cell>
        </row>
        <row r="15">
          <cell r="A15" t="str">
            <v>203</v>
          </cell>
          <cell r="B15" t="str">
            <v>014</v>
          </cell>
          <cell r="C15" t="str">
            <v>100</v>
          </cell>
        </row>
        <row r="16">
          <cell r="A16" t="str">
            <v>204</v>
          </cell>
          <cell r="B16" t="str">
            <v>015</v>
          </cell>
          <cell r="C16" t="str">
            <v>101</v>
          </cell>
        </row>
        <row r="17">
          <cell r="A17" t="str">
            <v>208</v>
          </cell>
          <cell r="B17" t="str">
            <v>016</v>
          </cell>
          <cell r="C17" t="str">
            <v>102</v>
          </cell>
        </row>
        <row r="18">
          <cell r="A18" t="str">
            <v>212</v>
          </cell>
          <cell r="B18" t="str">
            <v>017</v>
          </cell>
          <cell r="C18" t="str">
            <v>103</v>
          </cell>
        </row>
        <row r="19">
          <cell r="A19" t="str">
            <v>213</v>
          </cell>
          <cell r="B19" t="str">
            <v>018</v>
          </cell>
          <cell r="C19" t="str">
            <v>104</v>
          </cell>
        </row>
        <row r="20">
          <cell r="A20" t="str">
            <v>215</v>
          </cell>
          <cell r="B20" t="str">
            <v>019</v>
          </cell>
          <cell r="C20" t="str">
            <v>105</v>
          </cell>
        </row>
        <row r="21">
          <cell r="A21" t="str">
            <v>217</v>
          </cell>
          <cell r="B21" t="str">
            <v>020</v>
          </cell>
          <cell r="C21" t="str">
            <v>106</v>
          </cell>
        </row>
        <row r="22">
          <cell r="A22" t="str">
            <v>220</v>
          </cell>
          <cell r="B22" t="str">
            <v>021</v>
          </cell>
          <cell r="C22" t="str">
            <v>107</v>
          </cell>
        </row>
        <row r="23">
          <cell r="A23" t="str">
            <v>221</v>
          </cell>
          <cell r="B23" t="str">
            <v>022</v>
          </cell>
          <cell r="C23" t="str">
            <v>108</v>
          </cell>
        </row>
        <row r="24">
          <cell r="A24" t="str">
            <v>225</v>
          </cell>
          <cell r="B24" t="str">
            <v>023</v>
          </cell>
          <cell r="C24" t="str">
            <v>109</v>
          </cell>
        </row>
        <row r="25">
          <cell r="A25" t="str">
            <v>226</v>
          </cell>
          <cell r="B25" t="str">
            <v>024</v>
          </cell>
          <cell r="C25" t="str">
            <v>110</v>
          </cell>
        </row>
        <row r="26">
          <cell r="A26" t="str">
            <v>231</v>
          </cell>
          <cell r="B26" t="str">
            <v>025</v>
          </cell>
          <cell r="C26" t="str">
            <v>111</v>
          </cell>
        </row>
        <row r="27">
          <cell r="A27" t="str">
            <v>233</v>
          </cell>
          <cell r="B27" t="str">
            <v>026</v>
          </cell>
          <cell r="C27" t="str">
            <v>112</v>
          </cell>
        </row>
        <row r="28">
          <cell r="A28" t="str">
            <v>234</v>
          </cell>
          <cell r="B28" t="str">
            <v>027</v>
          </cell>
          <cell r="C28" t="str">
            <v>113</v>
          </cell>
        </row>
        <row r="29">
          <cell r="A29" t="str">
            <v>235</v>
          </cell>
          <cell r="B29" t="str">
            <v>028</v>
          </cell>
          <cell r="C29" t="str">
            <v>114</v>
          </cell>
        </row>
        <row r="30">
          <cell r="A30" t="str">
            <v>250</v>
          </cell>
          <cell r="B30" t="str">
            <v>029</v>
          </cell>
          <cell r="C30" t="str">
            <v>115</v>
          </cell>
        </row>
        <row r="31">
          <cell r="A31" t="str">
            <v>251</v>
          </cell>
          <cell r="B31" t="str">
            <v>030</v>
          </cell>
          <cell r="C31" t="str">
            <v>116</v>
          </cell>
        </row>
        <row r="32">
          <cell r="A32" t="str">
            <v>252</v>
          </cell>
          <cell r="B32" t="str">
            <v>031</v>
          </cell>
        </row>
        <row r="33">
          <cell r="A33" t="str">
            <v>253</v>
          </cell>
          <cell r="B33" t="str">
            <v>032</v>
          </cell>
        </row>
        <row r="34">
          <cell r="A34" t="str">
            <v>254</v>
          </cell>
          <cell r="B34" t="str">
            <v>033</v>
          </cell>
        </row>
        <row r="35">
          <cell r="A35" t="str">
            <v>255</v>
          </cell>
          <cell r="B35" t="str">
            <v>034</v>
          </cell>
        </row>
        <row r="36">
          <cell r="A36" t="str">
            <v>256</v>
          </cell>
          <cell r="B36" t="str">
            <v>035</v>
          </cell>
        </row>
        <row r="37">
          <cell r="A37" t="str">
            <v>257</v>
          </cell>
          <cell r="B37" t="str">
            <v>036</v>
          </cell>
        </row>
        <row r="38">
          <cell r="A38" t="str">
            <v>258</v>
          </cell>
          <cell r="B38" t="str">
            <v>037</v>
          </cell>
        </row>
        <row r="39">
          <cell r="A39" t="str">
            <v>259</v>
          </cell>
          <cell r="B39" t="str">
            <v>038</v>
          </cell>
        </row>
        <row r="40">
          <cell r="A40" t="str">
            <v>260</v>
          </cell>
          <cell r="B40" t="str">
            <v>039</v>
          </cell>
        </row>
        <row r="41">
          <cell r="A41" t="str">
            <v>261</v>
          </cell>
          <cell r="B41" t="str">
            <v>040</v>
          </cell>
        </row>
        <row r="42">
          <cell r="A42" t="str">
            <v>262</v>
          </cell>
          <cell r="B42" t="str">
            <v>041</v>
          </cell>
        </row>
        <row r="43">
          <cell r="A43" t="str">
            <v>263</v>
          </cell>
          <cell r="B43" t="str">
            <v>042</v>
          </cell>
        </row>
        <row r="44">
          <cell r="A44" t="str">
            <v>264</v>
          </cell>
          <cell r="B44" t="str">
            <v>043</v>
          </cell>
        </row>
        <row r="45">
          <cell r="A45" t="str">
            <v>265</v>
          </cell>
          <cell r="B45" t="str">
            <v>044</v>
          </cell>
        </row>
        <row r="46">
          <cell r="A46" t="str">
            <v>268</v>
          </cell>
          <cell r="B46" t="str">
            <v>045</v>
          </cell>
        </row>
        <row r="47">
          <cell r="A47" t="str">
            <v>271</v>
          </cell>
          <cell r="B47" t="str">
            <v>046</v>
          </cell>
        </row>
        <row r="48">
          <cell r="A48" t="str">
            <v>272</v>
          </cell>
          <cell r="B48" t="str">
            <v>047</v>
          </cell>
        </row>
        <row r="49">
          <cell r="A49" t="str">
            <v>279</v>
          </cell>
          <cell r="B49" t="str">
            <v>048</v>
          </cell>
        </row>
        <row r="50">
          <cell r="A50" t="str">
            <v>281</v>
          </cell>
          <cell r="B50" t="str">
            <v>049</v>
          </cell>
        </row>
        <row r="51">
          <cell r="A51" t="str">
            <v>282</v>
          </cell>
          <cell r="B51" t="str">
            <v>050</v>
          </cell>
        </row>
        <row r="52">
          <cell r="A52" t="str">
            <v>283</v>
          </cell>
          <cell r="B52" t="str">
            <v>051</v>
          </cell>
        </row>
        <row r="53">
          <cell r="A53" t="str">
            <v>350</v>
          </cell>
          <cell r="B53" t="str">
            <v>052</v>
          </cell>
        </row>
        <row r="54">
          <cell r="A54" t="str">
            <v>351</v>
          </cell>
          <cell r="B54" t="str">
            <v>053</v>
          </cell>
        </row>
        <row r="55">
          <cell r="A55" t="str">
            <v>352</v>
          </cell>
          <cell r="B55" t="str">
            <v>054</v>
          </cell>
        </row>
        <row r="56">
          <cell r="A56" t="str">
            <v>353</v>
          </cell>
          <cell r="B56" t="str">
            <v>055</v>
          </cell>
        </row>
        <row r="57">
          <cell r="A57" t="str">
            <v>354</v>
          </cell>
          <cell r="B57" t="str">
            <v>056</v>
          </cell>
        </row>
        <row r="58">
          <cell r="A58" t="str">
            <v>355</v>
          </cell>
          <cell r="B58" t="str">
            <v>057</v>
          </cell>
        </row>
        <row r="59">
          <cell r="A59" t="str">
            <v>356</v>
          </cell>
          <cell r="B59" t="str">
            <v>058</v>
          </cell>
        </row>
        <row r="60">
          <cell r="A60" t="str">
            <v>357</v>
          </cell>
          <cell r="B60" t="str">
            <v>059</v>
          </cell>
        </row>
        <row r="61">
          <cell r="A61" t="str">
            <v>358</v>
          </cell>
          <cell r="B61" t="str">
            <v>060</v>
          </cell>
        </row>
        <row r="62">
          <cell r="A62" t="str">
            <v>359</v>
          </cell>
          <cell r="B62" t="str">
            <v>061</v>
          </cell>
        </row>
        <row r="63">
          <cell r="A63" t="str">
            <v>360</v>
          </cell>
          <cell r="B63" t="str">
            <v>062</v>
          </cell>
        </row>
        <row r="64">
          <cell r="A64" t="str">
            <v>361</v>
          </cell>
          <cell r="B64" t="str">
            <v>063</v>
          </cell>
        </row>
        <row r="65">
          <cell r="A65" t="str">
            <v>362</v>
          </cell>
          <cell r="B65" t="str">
            <v>064</v>
          </cell>
        </row>
        <row r="66">
          <cell r="A66" t="str">
            <v>363</v>
          </cell>
          <cell r="B66" t="str">
            <v>065</v>
          </cell>
        </row>
        <row r="67">
          <cell r="A67" t="str">
            <v>364</v>
          </cell>
          <cell r="B67" t="str">
            <v>066</v>
          </cell>
        </row>
        <row r="68">
          <cell r="A68" t="str">
            <v>365</v>
          </cell>
          <cell r="B68" t="str">
            <v>067</v>
          </cell>
        </row>
        <row r="69">
          <cell r="A69" t="str">
            <v>368</v>
          </cell>
          <cell r="B69" t="str">
            <v>068</v>
          </cell>
        </row>
        <row r="70">
          <cell r="A70" t="str">
            <v>371</v>
          </cell>
          <cell r="B70" t="str">
            <v>070</v>
          </cell>
        </row>
        <row r="71">
          <cell r="A71" t="str">
            <v>372</v>
          </cell>
          <cell r="B71" t="str">
            <v>071</v>
          </cell>
        </row>
        <row r="72">
          <cell r="A72" t="str">
            <v>373</v>
          </cell>
          <cell r="B72" t="str">
            <v>072</v>
          </cell>
        </row>
        <row r="73">
          <cell r="A73" t="str">
            <v>374</v>
          </cell>
          <cell r="B73" t="str">
            <v>073</v>
          </cell>
        </row>
        <row r="74">
          <cell r="A74" t="str">
            <v>375</v>
          </cell>
          <cell r="B74" t="str">
            <v>074</v>
          </cell>
        </row>
        <row r="75">
          <cell r="A75" t="str">
            <v>377</v>
          </cell>
          <cell r="B75" t="str">
            <v>075</v>
          </cell>
        </row>
        <row r="76">
          <cell r="A76" t="str">
            <v>378</v>
          </cell>
          <cell r="B76" t="str">
            <v>077</v>
          </cell>
        </row>
        <row r="77">
          <cell r="A77" t="str">
            <v>379</v>
          </cell>
          <cell r="B77" t="str">
            <v>078</v>
          </cell>
        </row>
        <row r="78">
          <cell r="A78" t="str">
            <v>380</v>
          </cell>
          <cell r="B78" t="str">
            <v>079</v>
          </cell>
        </row>
        <row r="79">
          <cell r="A79" t="str">
            <v>381</v>
          </cell>
          <cell r="B79" t="str">
            <v>080</v>
          </cell>
        </row>
        <row r="80">
          <cell r="A80" t="str">
            <v>382</v>
          </cell>
          <cell r="B80" t="str">
            <v>081</v>
          </cell>
        </row>
        <row r="81">
          <cell r="A81" t="str">
            <v>383</v>
          </cell>
          <cell r="B81" t="str">
            <v>082</v>
          </cell>
        </row>
        <row r="82">
          <cell r="A82" t="str">
            <v>384</v>
          </cell>
          <cell r="B82" t="str">
            <v>083</v>
          </cell>
        </row>
        <row r="83">
          <cell r="A83" t="str">
            <v>385</v>
          </cell>
          <cell r="B83" t="str">
            <v>084</v>
          </cell>
        </row>
        <row r="84">
          <cell r="A84" t="str">
            <v>406</v>
          </cell>
          <cell r="B84" t="str">
            <v>085</v>
          </cell>
        </row>
        <row r="85">
          <cell r="A85" t="str">
            <v>410</v>
          </cell>
          <cell r="B85" t="str">
            <v>086</v>
          </cell>
        </row>
        <row r="86">
          <cell r="A86" t="str">
            <v>411</v>
          </cell>
          <cell r="B86" t="str">
            <v>087</v>
          </cell>
        </row>
        <row r="87">
          <cell r="A87" t="str">
            <v>451</v>
          </cell>
          <cell r="B87" t="str">
            <v>090</v>
          </cell>
        </row>
        <row r="88">
          <cell r="A88" t="str">
            <v>452</v>
          </cell>
          <cell r="B88" t="str">
            <v>099</v>
          </cell>
        </row>
        <row r="89">
          <cell r="A89" t="str">
            <v>453</v>
          </cell>
          <cell r="B89" t="str">
            <v>100</v>
          </cell>
        </row>
        <row r="90">
          <cell r="A90" t="str">
            <v>454</v>
          </cell>
          <cell r="B90" t="str">
            <v>101</v>
          </cell>
        </row>
        <row r="91">
          <cell r="A91" t="str">
            <v>455</v>
          </cell>
          <cell r="B91" t="str">
            <v>102</v>
          </cell>
        </row>
        <row r="92">
          <cell r="A92" t="str">
            <v>456</v>
          </cell>
          <cell r="B92" t="str">
            <v>103</v>
          </cell>
        </row>
        <row r="93">
          <cell r="A93" t="str">
            <v>457</v>
          </cell>
          <cell r="B93" t="str">
            <v>104</v>
          </cell>
        </row>
        <row r="94">
          <cell r="A94" t="str">
            <v>458</v>
          </cell>
          <cell r="B94" t="str">
            <v>105</v>
          </cell>
        </row>
        <row r="95">
          <cell r="A95" t="str">
            <v>459</v>
          </cell>
          <cell r="B95" t="str">
            <v>106</v>
          </cell>
        </row>
        <row r="96">
          <cell r="A96" t="str">
            <v>460</v>
          </cell>
          <cell r="B96" t="str">
            <v>107</v>
          </cell>
        </row>
        <row r="97">
          <cell r="A97" t="str">
            <v>461</v>
          </cell>
          <cell r="B97" t="str">
            <v>108</v>
          </cell>
        </row>
        <row r="98">
          <cell r="A98" t="str">
            <v>462</v>
          </cell>
          <cell r="B98" t="str">
            <v>109</v>
          </cell>
        </row>
        <row r="99">
          <cell r="A99" t="str">
            <v>463</v>
          </cell>
          <cell r="B99" t="str">
            <v>110</v>
          </cell>
        </row>
        <row r="100">
          <cell r="A100" t="str">
            <v>464</v>
          </cell>
          <cell r="B100" t="str">
            <v>111</v>
          </cell>
        </row>
        <row r="101">
          <cell r="A101" t="str">
            <v>465</v>
          </cell>
          <cell r="B101" t="str">
            <v>112</v>
          </cell>
        </row>
        <row r="102">
          <cell r="A102" t="str">
            <v>466</v>
          </cell>
          <cell r="B102" t="str">
            <v>113</v>
          </cell>
        </row>
        <row r="103">
          <cell r="A103" t="str">
            <v>467</v>
          </cell>
          <cell r="B103" t="str">
            <v>114</v>
          </cell>
        </row>
        <row r="104">
          <cell r="A104" t="str">
            <v>468</v>
          </cell>
          <cell r="B104" t="str">
            <v>115</v>
          </cell>
        </row>
        <row r="105">
          <cell r="A105" t="str">
            <v>469</v>
          </cell>
          <cell r="B105" t="str">
            <v>116</v>
          </cell>
        </row>
        <row r="106">
          <cell r="A106" t="str">
            <v>471</v>
          </cell>
          <cell r="B106" t="str">
            <v>117</v>
          </cell>
        </row>
        <row r="107">
          <cell r="A107" t="str">
            <v>472</v>
          </cell>
          <cell r="B107" t="str">
            <v>120</v>
          </cell>
        </row>
        <row r="108">
          <cell r="A108" t="str">
            <v>473</v>
          </cell>
          <cell r="B108" t="str">
            <v>121</v>
          </cell>
        </row>
        <row r="109">
          <cell r="A109" t="str">
            <v>474</v>
          </cell>
          <cell r="B109" t="str">
            <v>123</v>
          </cell>
        </row>
        <row r="110">
          <cell r="A110" t="str">
            <v>475</v>
          </cell>
          <cell r="B110" t="str">
            <v>124</v>
          </cell>
        </row>
        <row r="111">
          <cell r="A111" t="str">
            <v>476</v>
          </cell>
          <cell r="B111" t="str">
            <v>125</v>
          </cell>
        </row>
        <row r="112">
          <cell r="A112" t="str">
            <v>477</v>
          </cell>
          <cell r="B112" t="str">
            <v>126</v>
          </cell>
        </row>
        <row r="113">
          <cell r="A113" t="str">
            <v>478</v>
          </cell>
          <cell r="B113" t="str">
            <v>127</v>
          </cell>
        </row>
        <row r="114">
          <cell r="A114" t="str">
            <v>479</v>
          </cell>
          <cell r="B114" t="str">
            <v>128</v>
          </cell>
        </row>
        <row r="115">
          <cell r="A115" t="str">
            <v>501</v>
          </cell>
          <cell r="B115" t="str">
            <v>129</v>
          </cell>
        </row>
        <row r="116">
          <cell r="A116" t="str">
            <v>502</v>
          </cell>
          <cell r="B116" t="str">
            <v>130</v>
          </cell>
        </row>
        <row r="117">
          <cell r="A117" t="str">
            <v>601</v>
          </cell>
          <cell r="B117" t="str">
            <v>131</v>
          </cell>
        </row>
        <row r="118">
          <cell r="A118" t="str">
            <v>602</v>
          </cell>
          <cell r="B118" t="str">
            <v>132</v>
          </cell>
        </row>
        <row r="119">
          <cell r="A119" t="str">
            <v>606</v>
          </cell>
          <cell r="B119" t="str">
            <v>133</v>
          </cell>
        </row>
        <row r="120">
          <cell r="A120" t="str">
            <v>608</v>
          </cell>
          <cell r="B120" t="str">
            <v>134</v>
          </cell>
        </row>
        <row r="121">
          <cell r="A121" t="str">
            <v>614</v>
          </cell>
          <cell r="B121" t="str">
            <v>135</v>
          </cell>
        </row>
        <row r="122">
          <cell r="A122" t="str">
            <v>618</v>
          </cell>
          <cell r="B122" t="str">
            <v>140</v>
          </cell>
        </row>
        <row r="123">
          <cell r="A123" t="str">
            <v>619</v>
          </cell>
          <cell r="B123" t="str">
            <v>145</v>
          </cell>
        </row>
        <row r="124">
          <cell r="A124" t="str">
            <v>637</v>
          </cell>
          <cell r="B124" t="str">
            <v>147</v>
          </cell>
        </row>
        <row r="125">
          <cell r="A125" t="str">
            <v>678</v>
          </cell>
          <cell r="B125" t="str">
            <v>200</v>
          </cell>
        </row>
        <row r="126">
          <cell r="A126" t="str">
            <v>680</v>
          </cell>
          <cell r="B126" t="str">
            <v>201</v>
          </cell>
        </row>
        <row r="127">
          <cell r="A127" t="str">
            <v>690</v>
          </cell>
          <cell r="B127" t="str">
            <v>203</v>
          </cell>
        </row>
        <row r="128">
          <cell r="A128" t="str">
            <v>694</v>
          </cell>
          <cell r="B128" t="str">
            <v>207</v>
          </cell>
        </row>
        <row r="129">
          <cell r="A129" t="str">
            <v>695</v>
          </cell>
          <cell r="B129" t="str">
            <v>209</v>
          </cell>
        </row>
        <row r="130">
          <cell r="A130" t="str">
            <v>696</v>
          </cell>
          <cell r="B130" t="str">
            <v>210</v>
          </cell>
        </row>
        <row r="131">
          <cell r="A131" t="str">
            <v>697</v>
          </cell>
          <cell r="B131" t="str">
            <v>211</v>
          </cell>
        </row>
        <row r="132">
          <cell r="B132" t="str">
            <v>212</v>
          </cell>
        </row>
        <row r="133">
          <cell r="B133" t="str">
            <v>213</v>
          </cell>
        </row>
        <row r="134">
          <cell r="B134" t="str">
            <v>214</v>
          </cell>
        </row>
        <row r="135">
          <cell r="B135" t="str">
            <v>215</v>
          </cell>
        </row>
        <row r="136">
          <cell r="B136" t="str">
            <v>216</v>
          </cell>
        </row>
        <row r="137">
          <cell r="B137" t="str">
            <v>217</v>
          </cell>
        </row>
        <row r="138">
          <cell r="B138" t="str">
            <v>218</v>
          </cell>
        </row>
        <row r="139">
          <cell r="B139" t="str">
            <v>219</v>
          </cell>
        </row>
        <row r="140">
          <cell r="B140" t="str">
            <v>220</v>
          </cell>
        </row>
        <row r="141">
          <cell r="B141" t="str">
            <v>221</v>
          </cell>
        </row>
        <row r="142">
          <cell r="B142" t="str">
            <v>222</v>
          </cell>
        </row>
        <row r="143">
          <cell r="B143" t="str">
            <v>223</v>
          </cell>
        </row>
        <row r="144">
          <cell r="B144" t="str">
            <v>400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исп"/>
      <sheetName val="экономия"/>
    </sheetNames>
    <sheetDataSet>
      <sheetData sheetId="0">
        <row r="1">
          <cell r="A1" t="str">
            <v>01 Республиканский бюджет</v>
          </cell>
        </row>
      </sheetData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33"/>
  <sheetViews>
    <sheetView view="pageBreakPreview" zoomScaleSheetLayoutView="100" workbookViewId="0">
      <pane xSplit="6" ySplit="4" topLeftCell="G233" activePane="bottomRight" state="frozen"/>
      <selection pane="topRight" activeCell="G1" sqref="G1"/>
      <selection pane="bottomLeft" activeCell="A5" sqref="A5"/>
      <selection pane="bottomRight" activeCell="F155" sqref="F155:F162"/>
    </sheetView>
  </sheetViews>
  <sheetFormatPr defaultRowHeight="12.75"/>
  <cols>
    <col min="1" max="1" width="4.7109375" style="6" customWidth="1"/>
    <col min="2" max="2" width="6.5703125" style="6" bestFit="1" customWidth="1"/>
    <col min="3" max="3" width="4.140625" style="6" customWidth="1"/>
    <col min="4" max="4" width="4.5703125" style="6" customWidth="1"/>
    <col min="5" max="5" width="4.85546875" style="6" customWidth="1"/>
    <col min="6" max="6" width="52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425781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1">
      <c r="D1" s="7"/>
      <c r="F1" s="1" t="s">
        <v>136</v>
      </c>
      <c r="G1" s="1"/>
      <c r="H1" s="2"/>
    </row>
    <row r="2" spans="1:21">
      <c r="D2" s="7"/>
      <c r="F2" s="1"/>
      <c r="G2" s="1"/>
      <c r="H2" s="2"/>
    </row>
    <row r="3" spans="1:21" ht="31.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1" ht="25.5">
      <c r="A4" s="151"/>
      <c r="B4" s="152"/>
      <c r="C4" s="154"/>
      <c r="D4" s="154"/>
      <c r="E4" s="154"/>
      <c r="F4" s="149"/>
      <c r="G4" s="144"/>
      <c r="H4" s="127" t="s">
        <v>139</v>
      </c>
      <c r="I4" s="127" t="s">
        <v>140</v>
      </c>
      <c r="J4" s="144"/>
      <c r="K4" s="127" t="s">
        <v>143</v>
      </c>
      <c r="L4" s="127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1" ht="25.5">
      <c r="A5" s="21">
        <v>256</v>
      </c>
      <c r="B5" s="8"/>
      <c r="C5" s="8"/>
      <c r="D5" s="8"/>
      <c r="E5" s="8"/>
      <c r="F5" s="129" t="s">
        <v>78</v>
      </c>
      <c r="G5" s="40">
        <f t="shared" ref="G5:N5" si="0">G6+G99+G119+G142+G168+G192+G216+G262</f>
        <v>17032809</v>
      </c>
      <c r="H5" s="40">
        <f t="shared" si="0"/>
        <v>760798</v>
      </c>
      <c r="I5" s="40">
        <f t="shared" si="0"/>
        <v>531663</v>
      </c>
      <c r="J5" s="24">
        <f t="shared" si="0"/>
        <v>523590.88315999997</v>
      </c>
      <c r="K5" s="40">
        <f t="shared" si="0"/>
        <v>0</v>
      </c>
      <c r="L5" s="40">
        <f t="shared" si="0"/>
        <v>522433.20371000003</v>
      </c>
      <c r="M5" s="24">
        <f t="shared" si="0"/>
        <v>522433.20371000003</v>
      </c>
      <c r="N5" s="24">
        <f t="shared" si="0"/>
        <v>9229.796289999993</v>
      </c>
      <c r="O5" s="66">
        <f>M5/I5*100</f>
        <v>98.263976186042669</v>
      </c>
      <c r="P5" s="60">
        <f t="shared" ref="P5:P8" si="1">J5-M5</f>
        <v>1157.6794499999378</v>
      </c>
      <c r="Q5" s="29">
        <f t="shared" ref="Q5:Q8" si="2">H5-J5</f>
        <v>237207.11684000003</v>
      </c>
      <c r="R5" s="74">
        <v>1103576</v>
      </c>
      <c r="S5" s="74">
        <f t="shared" ref="S5:S8" si="3">G5-M5</f>
        <v>16510375.796289999</v>
      </c>
    </row>
    <row r="6" spans="1:21" s="111" customFormat="1" ht="25.5">
      <c r="A6" s="8"/>
      <c r="B6" s="17">
        <v>1261</v>
      </c>
      <c r="C6" s="8"/>
      <c r="D6" s="9"/>
      <c r="E6" s="9"/>
      <c r="F6" s="130" t="s">
        <v>79</v>
      </c>
      <c r="G6" s="42">
        <f>G7+G13+G34+G38+G41+G44+G92+G96</f>
        <v>5070963</v>
      </c>
      <c r="H6" s="42">
        <f t="shared" ref="H6:N6" si="4">H7+H13+H34+H38+H41+H44+H92+H96</f>
        <v>510063</v>
      </c>
      <c r="I6" s="42">
        <f t="shared" si="4"/>
        <v>305392</v>
      </c>
      <c r="J6" s="29">
        <f t="shared" si="4"/>
        <v>305263.96490999998</v>
      </c>
      <c r="K6" s="42">
        <f t="shared" si="4"/>
        <v>0</v>
      </c>
      <c r="L6" s="42">
        <f t="shared" si="4"/>
        <v>305263.96490999998</v>
      </c>
      <c r="M6" s="42">
        <f t="shared" si="4"/>
        <v>305263.96490999998</v>
      </c>
      <c r="N6" s="29">
        <f t="shared" si="4"/>
        <v>128.03508999999985</v>
      </c>
      <c r="O6" s="66">
        <f t="shared" ref="O6:O44" si="5">M6/I6*100</f>
        <v>99.958075165688683</v>
      </c>
      <c r="P6" s="60">
        <f t="shared" si="1"/>
        <v>0</v>
      </c>
      <c r="Q6" s="29">
        <f t="shared" si="2"/>
        <v>204799.03509000002</v>
      </c>
      <c r="R6" s="74">
        <v>1103577</v>
      </c>
      <c r="S6" s="74">
        <f t="shared" si="3"/>
        <v>4765699.0350900004</v>
      </c>
      <c r="T6" s="62"/>
      <c r="U6" s="62"/>
    </row>
    <row r="7" spans="1:21">
      <c r="A7" s="8"/>
      <c r="B7" s="8"/>
      <c r="C7" s="17" t="s">
        <v>36</v>
      </c>
      <c r="D7" s="9"/>
      <c r="E7" s="9"/>
      <c r="F7" s="131" t="s">
        <v>80</v>
      </c>
      <c r="G7" s="42">
        <f>G8+G10</f>
        <v>2180255</v>
      </c>
      <c r="H7" s="42">
        <f t="shared" ref="H7:N7" si="6">H8+H10</f>
        <v>166745</v>
      </c>
      <c r="I7" s="42">
        <f t="shared" si="6"/>
        <v>165000</v>
      </c>
      <c r="J7" s="42">
        <f t="shared" si="6"/>
        <v>164988.70772999999</v>
      </c>
      <c r="K7" s="42">
        <f t="shared" si="6"/>
        <v>0</v>
      </c>
      <c r="L7" s="42">
        <f t="shared" si="6"/>
        <v>164988.70772999999</v>
      </c>
      <c r="M7" s="42">
        <f t="shared" si="6"/>
        <v>164988.70772999999</v>
      </c>
      <c r="N7" s="42">
        <f t="shared" si="6"/>
        <v>11.292269999999917</v>
      </c>
      <c r="O7" s="68">
        <f t="shared" si="5"/>
        <v>99.993156200000001</v>
      </c>
      <c r="P7" s="60">
        <f t="shared" si="1"/>
        <v>0</v>
      </c>
      <c r="Q7" s="29">
        <f t="shared" si="2"/>
        <v>1756.2922700000054</v>
      </c>
      <c r="R7" s="74">
        <v>1103578</v>
      </c>
      <c r="S7" s="74">
        <f t="shared" si="3"/>
        <v>2015266.2922700001</v>
      </c>
    </row>
    <row r="8" spans="1:21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7">G9</f>
        <v>2014974</v>
      </c>
      <c r="H8" s="59">
        <f t="shared" si="7"/>
        <v>150000</v>
      </c>
      <c r="I8" s="59">
        <f t="shared" si="7"/>
        <v>150000</v>
      </c>
      <c r="J8" s="33">
        <f>J9</f>
        <v>150000</v>
      </c>
      <c r="K8" s="60">
        <f t="shared" si="7"/>
        <v>0</v>
      </c>
      <c r="L8" s="29">
        <f t="shared" si="7"/>
        <v>150000</v>
      </c>
      <c r="M8" s="60">
        <f t="shared" si="7"/>
        <v>150000</v>
      </c>
      <c r="N8" s="29">
        <f t="shared" si="7"/>
        <v>0</v>
      </c>
      <c r="O8" s="68">
        <f t="shared" si="5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1864974</v>
      </c>
    </row>
    <row r="9" spans="1:21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150000</v>
      </c>
      <c r="I9" s="37">
        <v>150000</v>
      </c>
      <c r="J9" s="75">
        <f>M9</f>
        <v>150000</v>
      </c>
      <c r="K9" s="35"/>
      <c r="L9" s="35">
        <v>150000</v>
      </c>
      <c r="M9" s="35">
        <f>K9+L9</f>
        <v>150000</v>
      </c>
      <c r="N9" s="35">
        <f>I9-M9</f>
        <v>0</v>
      </c>
      <c r="O9" s="70">
        <f t="shared" si="5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1864974</v>
      </c>
      <c r="T9" s="62">
        <f>G9-J9</f>
        <v>1864974</v>
      </c>
    </row>
    <row r="10" spans="1:21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165281</v>
      </c>
      <c r="H10" s="59">
        <f t="shared" ref="H10:N10" si="8">H11+H12</f>
        <v>16745</v>
      </c>
      <c r="I10" s="59">
        <f t="shared" si="8"/>
        <v>15000</v>
      </c>
      <c r="J10" s="33">
        <f>J11+J12</f>
        <v>14988.70773</v>
      </c>
      <c r="K10" s="33">
        <f>K11+K12</f>
        <v>0</v>
      </c>
      <c r="L10" s="29">
        <f t="shared" si="8"/>
        <v>14988.70773</v>
      </c>
      <c r="M10" s="29">
        <f t="shared" si="8"/>
        <v>14988.70773</v>
      </c>
      <c r="N10" s="29">
        <f t="shared" si="8"/>
        <v>11.292269999999917</v>
      </c>
      <c r="O10" s="68">
        <f t="shared" si="5"/>
        <v>99.924718200000001</v>
      </c>
      <c r="P10" s="60">
        <f t="shared" ref="P10:P73" si="9">J10-M10</f>
        <v>0</v>
      </c>
      <c r="Q10" s="29">
        <f t="shared" ref="Q10:Q73" si="10">H10-J10</f>
        <v>1756.2922699999999</v>
      </c>
      <c r="R10" s="74">
        <v>1103581</v>
      </c>
      <c r="S10" s="74">
        <f t="shared" ref="S10:S73" si="11">G10-M10</f>
        <v>150292.29227000001</v>
      </c>
      <c r="T10" s="62">
        <f t="shared" ref="T10:T44" si="12">G10-J10</f>
        <v>150292.29227000001</v>
      </c>
    </row>
    <row r="11" spans="1:21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/>
      <c r="J11" s="75">
        <f>M11</f>
        <v>0</v>
      </c>
      <c r="K11" s="35"/>
      <c r="L11" s="35"/>
      <c r="M11" s="35">
        <f>K11+L11</f>
        <v>0</v>
      </c>
      <c r="N11" s="35">
        <f>I11-M11</f>
        <v>0</v>
      </c>
      <c r="O11" s="70" t="e">
        <f t="shared" si="5"/>
        <v>#DIV/0!</v>
      </c>
      <c r="P11" s="71">
        <f t="shared" si="9"/>
        <v>0</v>
      </c>
      <c r="Q11" s="35">
        <f t="shared" si="10"/>
        <v>1745</v>
      </c>
      <c r="R11" s="72">
        <v>1103582</v>
      </c>
      <c r="S11" s="72">
        <f t="shared" si="11"/>
        <v>1745</v>
      </c>
      <c r="T11" s="62">
        <f t="shared" si="12"/>
        <v>1745</v>
      </c>
    </row>
    <row r="12" spans="1:21">
      <c r="A12" s="8"/>
      <c r="B12" s="8"/>
      <c r="C12" s="8"/>
      <c r="D12" s="69"/>
      <c r="E12" s="69">
        <v>322</v>
      </c>
      <c r="F12" s="133" t="s">
        <v>82</v>
      </c>
      <c r="G12" s="26">
        <v>163536</v>
      </c>
      <c r="H12" s="37">
        <v>15000</v>
      </c>
      <c r="I12" s="37">
        <v>15000</v>
      </c>
      <c r="J12" s="75">
        <f>M12</f>
        <v>14988.70773</v>
      </c>
      <c r="K12" s="35"/>
      <c r="L12" s="35">
        <v>14988.70773</v>
      </c>
      <c r="M12" s="35">
        <f>K12+L12</f>
        <v>14988.70773</v>
      </c>
      <c r="N12" s="35">
        <f>I12-M12</f>
        <v>11.292269999999917</v>
      </c>
      <c r="O12" s="70">
        <f t="shared" si="5"/>
        <v>99.924718200000001</v>
      </c>
      <c r="P12" s="71">
        <f t="shared" si="9"/>
        <v>0</v>
      </c>
      <c r="Q12" s="35">
        <f t="shared" si="10"/>
        <v>11.292269999999917</v>
      </c>
      <c r="R12" s="72">
        <v>1103583</v>
      </c>
      <c r="S12" s="72">
        <f t="shared" si="11"/>
        <v>148547.29227000001</v>
      </c>
      <c r="T12" s="62">
        <f t="shared" si="12"/>
        <v>148547.29227000001</v>
      </c>
    </row>
    <row r="13" spans="1:21" ht="39" customHeight="1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3">G14</f>
        <v>260651</v>
      </c>
      <c r="H13" s="33">
        <f t="shared" si="13"/>
        <v>15392</v>
      </c>
      <c r="I13" s="33">
        <f t="shared" si="13"/>
        <v>15392</v>
      </c>
      <c r="J13" s="29">
        <f t="shared" ref="J13" si="14">J14</f>
        <v>15275.257180000001</v>
      </c>
      <c r="K13" s="29">
        <f>K14</f>
        <v>0</v>
      </c>
      <c r="L13" s="29">
        <f t="shared" si="13"/>
        <v>15275.257180000001</v>
      </c>
      <c r="M13" s="29">
        <f t="shared" si="13"/>
        <v>15275.257180000001</v>
      </c>
      <c r="N13" s="29">
        <f t="shared" si="13"/>
        <v>116.74281999999994</v>
      </c>
      <c r="O13" s="68">
        <f t="shared" si="5"/>
        <v>99.241535732848234</v>
      </c>
      <c r="P13" s="71">
        <f t="shared" si="9"/>
        <v>0</v>
      </c>
      <c r="Q13" s="35">
        <f t="shared" si="10"/>
        <v>116.74281999999948</v>
      </c>
      <c r="R13" s="72">
        <v>1103584</v>
      </c>
      <c r="S13" s="72">
        <f t="shared" si="11"/>
        <v>245375.74281999998</v>
      </c>
      <c r="T13" s="62">
        <f t="shared" si="12"/>
        <v>245375.74281999998</v>
      </c>
    </row>
    <row r="14" spans="1:21">
      <c r="A14" s="8"/>
      <c r="B14" s="8"/>
      <c r="C14" s="8"/>
      <c r="D14" s="17" t="s">
        <v>7</v>
      </c>
      <c r="E14" s="10"/>
      <c r="F14" s="135" t="s">
        <v>85</v>
      </c>
      <c r="G14" s="59">
        <f>SUM(G15:G33)</f>
        <v>260651</v>
      </c>
      <c r="H14" s="59">
        <f t="shared" ref="H14:K14" si="15">SUM(H15:H33)</f>
        <v>15392</v>
      </c>
      <c r="I14" s="59">
        <f t="shared" si="15"/>
        <v>15392</v>
      </c>
      <c r="J14" s="29">
        <f t="shared" si="15"/>
        <v>15275.257180000001</v>
      </c>
      <c r="K14" s="60">
        <f t="shared" si="15"/>
        <v>0</v>
      </c>
      <c r="L14" s="29">
        <f>SUM(L15:L33)</f>
        <v>15275.257180000001</v>
      </c>
      <c r="M14" s="29">
        <f t="shared" ref="M14:N14" si="16">SUM(M15:M33)</f>
        <v>15275.257180000001</v>
      </c>
      <c r="N14" s="29">
        <f t="shared" si="16"/>
        <v>116.74281999999994</v>
      </c>
      <c r="O14" s="68">
        <f t="shared" si="5"/>
        <v>99.241535732848234</v>
      </c>
      <c r="P14" s="71">
        <f t="shared" si="9"/>
        <v>0</v>
      </c>
      <c r="Q14" s="35">
        <f t="shared" si="10"/>
        <v>116.74281999999948</v>
      </c>
      <c r="R14" s="72">
        <v>1103585</v>
      </c>
      <c r="S14" s="72">
        <f t="shared" si="11"/>
        <v>245375.74281999998</v>
      </c>
      <c r="T14" s="62">
        <f t="shared" si="12"/>
        <v>245375.74281999998</v>
      </c>
    </row>
    <row r="15" spans="1:21" s="73" customFormat="1">
      <c r="A15" s="9"/>
      <c r="B15" s="9"/>
      <c r="C15" s="9"/>
      <c r="D15" s="69"/>
      <c r="E15" s="69">
        <v>111</v>
      </c>
      <c r="F15" s="136" t="s">
        <v>86</v>
      </c>
      <c r="G15" s="26">
        <v>121539</v>
      </c>
      <c r="H15" s="26">
        <v>10000</v>
      </c>
      <c r="I15" s="26">
        <v>10000</v>
      </c>
      <c r="J15" s="75">
        <f>M15</f>
        <v>10000</v>
      </c>
      <c r="K15" s="35"/>
      <c r="L15" s="27">
        <v>10000</v>
      </c>
      <c r="M15" s="71">
        <f>K15+L15</f>
        <v>10000</v>
      </c>
      <c r="N15" s="35">
        <f>I15-M15</f>
        <v>0</v>
      </c>
      <c r="O15" s="70">
        <f t="shared" si="5"/>
        <v>100</v>
      </c>
      <c r="P15" s="71">
        <f t="shared" si="9"/>
        <v>0</v>
      </c>
      <c r="Q15" s="35">
        <f t="shared" si="10"/>
        <v>0</v>
      </c>
      <c r="R15" s="72">
        <v>1103586</v>
      </c>
      <c r="S15" s="72">
        <f t="shared" si="11"/>
        <v>111539</v>
      </c>
      <c r="T15" s="62">
        <f t="shared" si="12"/>
        <v>111539</v>
      </c>
    </row>
    <row r="16" spans="1:21">
      <c r="A16" s="9"/>
      <c r="B16" s="9"/>
      <c r="C16" s="9"/>
      <c r="D16" s="69"/>
      <c r="E16" s="69">
        <v>112</v>
      </c>
      <c r="F16" s="136" t="s">
        <v>87</v>
      </c>
      <c r="G16" s="26">
        <v>17318</v>
      </c>
      <c r="H16" s="26"/>
      <c r="I16" s="26"/>
      <c r="J16" s="75">
        <f t="shared" ref="J16:J33" si="17">M16</f>
        <v>0</v>
      </c>
      <c r="K16" s="35"/>
      <c r="L16" s="27"/>
      <c r="M16" s="71">
        <f t="shared" ref="M16:M33" si="18">K16+L16</f>
        <v>0</v>
      </c>
      <c r="N16" s="35">
        <f t="shared" ref="N16:N33" si="19">I16-M16</f>
        <v>0</v>
      </c>
      <c r="O16" s="70" t="e">
        <f t="shared" si="5"/>
        <v>#DIV/0!</v>
      </c>
      <c r="P16" s="71">
        <f t="shared" si="9"/>
        <v>0</v>
      </c>
      <c r="Q16" s="35">
        <f t="shared" si="10"/>
        <v>0</v>
      </c>
      <c r="R16" s="72">
        <v>1103587</v>
      </c>
      <c r="S16" s="72">
        <f t="shared" si="11"/>
        <v>17318</v>
      </c>
      <c r="T16" s="62">
        <f t="shared" si="12"/>
        <v>17318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814</v>
      </c>
      <c r="I17" s="26">
        <v>814</v>
      </c>
      <c r="J17" s="75">
        <f t="shared" si="17"/>
        <v>813.428</v>
      </c>
      <c r="K17" s="35"/>
      <c r="L17" s="27">
        <v>813.428</v>
      </c>
      <c r="M17" s="71">
        <f t="shared" si="18"/>
        <v>813.428</v>
      </c>
      <c r="N17" s="35">
        <f t="shared" si="19"/>
        <v>0.57200000000000273</v>
      </c>
      <c r="O17" s="70">
        <f t="shared" si="5"/>
        <v>99.929729729729729</v>
      </c>
      <c r="P17" s="71">
        <f t="shared" si="9"/>
        <v>0</v>
      </c>
      <c r="Q17" s="35">
        <f t="shared" si="10"/>
        <v>0.57200000000000273</v>
      </c>
      <c r="R17" s="72">
        <v>1103588</v>
      </c>
      <c r="S17" s="72">
        <f t="shared" si="11"/>
        <v>19442.572</v>
      </c>
      <c r="T17" s="62">
        <f t="shared" si="12"/>
        <v>19442.572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v>4860</v>
      </c>
      <c r="H18" s="26">
        <v>300</v>
      </c>
      <c r="I18" s="26">
        <v>300</v>
      </c>
      <c r="J18" s="75">
        <f t="shared" si="17"/>
        <v>275.50799999999998</v>
      </c>
      <c r="K18" s="35"/>
      <c r="L18" s="27">
        <v>275.50799999999998</v>
      </c>
      <c r="M18" s="71">
        <f>K18+L18</f>
        <v>275.50799999999998</v>
      </c>
      <c r="N18" s="35">
        <f>I18-M18</f>
        <v>24.492000000000019</v>
      </c>
      <c r="O18" s="70">
        <f>M18/I18*100</f>
        <v>91.835999999999999</v>
      </c>
      <c r="P18" s="71">
        <f t="shared" si="9"/>
        <v>0</v>
      </c>
      <c r="Q18" s="35">
        <f t="shared" si="10"/>
        <v>24.492000000000019</v>
      </c>
      <c r="R18" s="72">
        <v>1103589</v>
      </c>
      <c r="S18" s="72">
        <f t="shared" si="11"/>
        <v>4584.4920000000002</v>
      </c>
      <c r="T18" s="62">
        <f t="shared" si="12"/>
        <v>4584.4920000000002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528</v>
      </c>
      <c r="I19" s="26">
        <v>528</v>
      </c>
      <c r="J19" s="75">
        <f t="shared" si="17"/>
        <v>528</v>
      </c>
      <c r="K19" s="35"/>
      <c r="L19" s="27">
        <v>528</v>
      </c>
      <c r="M19" s="71">
        <f t="shared" si="18"/>
        <v>528</v>
      </c>
      <c r="N19" s="35">
        <f t="shared" si="19"/>
        <v>0</v>
      </c>
      <c r="O19" s="70">
        <f t="shared" si="5"/>
        <v>100</v>
      </c>
      <c r="P19" s="71">
        <f t="shared" si="9"/>
        <v>0</v>
      </c>
      <c r="Q19" s="35">
        <f t="shared" si="10"/>
        <v>0</v>
      </c>
      <c r="R19" s="72">
        <v>1103590</v>
      </c>
      <c r="S19" s="72">
        <f t="shared" si="11"/>
        <v>7803</v>
      </c>
      <c r="T19" s="62">
        <f t="shared" si="12"/>
        <v>7803</v>
      </c>
    </row>
    <row r="20" spans="1:20" s="73" customFormat="1" ht="25.5">
      <c r="A20" s="9"/>
      <c r="B20" s="9"/>
      <c r="C20" s="9"/>
      <c r="D20" s="69"/>
      <c r="E20" s="69">
        <v>122</v>
      </c>
      <c r="F20" s="136" t="s">
        <v>91</v>
      </c>
      <c r="G20" s="26">
        <v>6943</v>
      </c>
      <c r="H20" s="26">
        <v>440</v>
      </c>
      <c r="I20" s="26">
        <v>440</v>
      </c>
      <c r="J20" s="75">
        <f t="shared" si="17"/>
        <v>440</v>
      </c>
      <c r="K20" s="35"/>
      <c r="L20" s="27">
        <v>440</v>
      </c>
      <c r="M20" s="71">
        <f t="shared" si="18"/>
        <v>440</v>
      </c>
      <c r="N20" s="35">
        <f t="shared" si="19"/>
        <v>0</v>
      </c>
      <c r="O20" s="70">
        <f t="shared" si="5"/>
        <v>100</v>
      </c>
      <c r="P20" s="71">
        <f t="shared" si="9"/>
        <v>0</v>
      </c>
      <c r="Q20" s="35">
        <f t="shared" si="10"/>
        <v>0</v>
      </c>
      <c r="R20" s="72">
        <v>1103591</v>
      </c>
      <c r="S20" s="72">
        <f t="shared" si="11"/>
        <v>6503</v>
      </c>
      <c r="T20" s="62">
        <f t="shared" si="12"/>
        <v>6503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7"/>
        <v>0</v>
      </c>
      <c r="K21" s="35"/>
      <c r="L21" s="27"/>
      <c r="M21" s="71">
        <f t="shared" si="18"/>
        <v>0</v>
      </c>
      <c r="N21" s="35">
        <f t="shared" si="19"/>
        <v>0</v>
      </c>
      <c r="O21" s="70" t="e">
        <f t="shared" si="5"/>
        <v>#DIV/0!</v>
      </c>
      <c r="P21" s="71">
        <f t="shared" si="9"/>
        <v>0</v>
      </c>
      <c r="Q21" s="35">
        <f t="shared" si="10"/>
        <v>0</v>
      </c>
      <c r="R21" s="72">
        <v>1103592</v>
      </c>
      <c r="S21" s="72">
        <f t="shared" si="11"/>
        <v>63</v>
      </c>
      <c r="T21" s="62">
        <f t="shared" si="12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v>4166</v>
      </c>
      <c r="H22" s="26">
        <v>300</v>
      </c>
      <c r="I22" s="26">
        <v>300</v>
      </c>
      <c r="J22" s="75">
        <f t="shared" si="17"/>
        <v>245.42599999999999</v>
      </c>
      <c r="K22" s="35"/>
      <c r="L22" s="27">
        <v>245.42599999999999</v>
      </c>
      <c r="M22" s="71">
        <f t="shared" si="18"/>
        <v>245.42599999999999</v>
      </c>
      <c r="N22" s="35">
        <f t="shared" si="19"/>
        <v>54.574000000000012</v>
      </c>
      <c r="O22" s="70">
        <f t="shared" si="5"/>
        <v>81.808666666666667</v>
      </c>
      <c r="P22" s="71">
        <f t="shared" si="9"/>
        <v>0</v>
      </c>
      <c r="Q22" s="35">
        <f t="shared" si="10"/>
        <v>54.574000000000012</v>
      </c>
      <c r="R22" s="72">
        <v>1103593</v>
      </c>
      <c r="S22" s="72">
        <f t="shared" si="11"/>
        <v>3920.5740000000001</v>
      </c>
      <c r="T22" s="62">
        <f t="shared" si="12"/>
        <v>3920.5740000000001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1200</v>
      </c>
      <c r="I23" s="26">
        <v>1200</v>
      </c>
      <c r="J23" s="75">
        <f t="shared" si="17"/>
        <v>1200</v>
      </c>
      <c r="K23" s="35"/>
      <c r="L23" s="27">
        <v>1200</v>
      </c>
      <c r="M23" s="71">
        <f t="shared" si="18"/>
        <v>1200</v>
      </c>
      <c r="N23" s="35">
        <f t="shared" si="19"/>
        <v>0</v>
      </c>
      <c r="O23" s="70">
        <f t="shared" si="5"/>
        <v>100</v>
      </c>
      <c r="P23" s="71">
        <f t="shared" si="9"/>
        <v>0</v>
      </c>
      <c r="Q23" s="35">
        <f t="shared" si="10"/>
        <v>0</v>
      </c>
      <c r="R23" s="72">
        <v>1103594</v>
      </c>
      <c r="S23" s="72">
        <f t="shared" si="11"/>
        <v>18133</v>
      </c>
      <c r="T23" s="62">
        <f t="shared" si="12"/>
        <v>18133</v>
      </c>
    </row>
    <row r="24" spans="1:20" s="73" customFormat="1" ht="25.5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135</v>
      </c>
      <c r="I24" s="26">
        <v>135</v>
      </c>
      <c r="J24" s="75">
        <f t="shared" si="17"/>
        <v>135</v>
      </c>
      <c r="K24" s="35"/>
      <c r="L24" s="27">
        <v>135</v>
      </c>
      <c r="M24" s="71">
        <f t="shared" si="18"/>
        <v>135</v>
      </c>
      <c r="N24" s="35">
        <f t="shared" si="19"/>
        <v>0</v>
      </c>
      <c r="O24" s="70">
        <f t="shared" si="5"/>
        <v>100</v>
      </c>
      <c r="P24" s="71">
        <f t="shared" si="9"/>
        <v>0</v>
      </c>
      <c r="Q24" s="35">
        <f t="shared" si="10"/>
        <v>0</v>
      </c>
      <c r="R24" s="72">
        <v>1103595</v>
      </c>
      <c r="S24" s="72">
        <f t="shared" si="11"/>
        <v>2994</v>
      </c>
      <c r="T24" s="62">
        <f t="shared" si="12"/>
        <v>2994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7"/>
        <v>0</v>
      </c>
      <c r="K25" s="35"/>
      <c r="L25" s="27"/>
      <c r="M25" s="71">
        <f t="shared" si="18"/>
        <v>0</v>
      </c>
      <c r="N25" s="35">
        <f t="shared" si="19"/>
        <v>0</v>
      </c>
      <c r="O25" s="70" t="e">
        <f t="shared" si="5"/>
        <v>#DIV/0!</v>
      </c>
      <c r="P25" s="71">
        <f t="shared" si="9"/>
        <v>0</v>
      </c>
      <c r="Q25" s="35">
        <f t="shared" si="10"/>
        <v>0</v>
      </c>
      <c r="R25" s="72">
        <v>1103596</v>
      </c>
      <c r="S25" s="72">
        <f t="shared" si="11"/>
        <v>0</v>
      </c>
      <c r="T25" s="62">
        <f t="shared" si="12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/>
      <c r="I26" s="26"/>
      <c r="J26" s="75">
        <f t="shared" si="17"/>
        <v>0</v>
      </c>
      <c r="K26" s="35"/>
      <c r="L26" s="27"/>
      <c r="M26" s="71">
        <f t="shared" si="18"/>
        <v>0</v>
      </c>
      <c r="N26" s="35">
        <f t="shared" si="19"/>
        <v>0</v>
      </c>
      <c r="O26" s="70" t="e">
        <f t="shared" si="5"/>
        <v>#DIV/0!</v>
      </c>
      <c r="P26" s="71">
        <f t="shared" si="9"/>
        <v>0</v>
      </c>
      <c r="Q26" s="35">
        <f t="shared" si="10"/>
        <v>0</v>
      </c>
      <c r="R26" s="72">
        <v>1103597</v>
      </c>
      <c r="S26" s="72">
        <f t="shared" si="11"/>
        <v>2075</v>
      </c>
      <c r="T26" s="62">
        <f t="shared" si="12"/>
        <v>2075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/>
      <c r="I27" s="26"/>
      <c r="J27" s="75">
        <f t="shared" si="17"/>
        <v>0</v>
      </c>
      <c r="K27" s="35"/>
      <c r="L27" s="27"/>
      <c r="M27" s="35">
        <f t="shared" si="18"/>
        <v>0</v>
      </c>
      <c r="N27" s="35">
        <f t="shared" si="19"/>
        <v>0</v>
      </c>
      <c r="O27" s="70" t="e">
        <f t="shared" si="5"/>
        <v>#DIV/0!</v>
      </c>
      <c r="P27" s="71">
        <f t="shared" si="9"/>
        <v>0</v>
      </c>
      <c r="Q27" s="35">
        <f t="shared" si="10"/>
        <v>0</v>
      </c>
      <c r="R27" s="72">
        <v>1103598</v>
      </c>
      <c r="S27" s="72">
        <f t="shared" si="11"/>
        <v>4170</v>
      </c>
      <c r="T27" s="62">
        <f t="shared" si="12"/>
        <v>4170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1275</v>
      </c>
      <c r="I28" s="26">
        <v>1275</v>
      </c>
      <c r="J28" s="75">
        <f t="shared" si="17"/>
        <v>1274.5351800000001</v>
      </c>
      <c r="K28" s="35"/>
      <c r="L28" s="27">
        <v>1274.5351800000001</v>
      </c>
      <c r="M28" s="35">
        <f t="shared" si="18"/>
        <v>1274.5351800000001</v>
      </c>
      <c r="N28" s="35">
        <f t="shared" si="19"/>
        <v>0.46481999999991785</v>
      </c>
      <c r="O28" s="70">
        <f t="shared" si="5"/>
        <v>99.963543529411766</v>
      </c>
      <c r="P28" s="71">
        <f t="shared" si="9"/>
        <v>0</v>
      </c>
      <c r="Q28" s="35">
        <f t="shared" si="10"/>
        <v>0.46481999999991785</v>
      </c>
      <c r="R28" s="72">
        <v>1103599</v>
      </c>
      <c r="S28" s="72">
        <f t="shared" si="11"/>
        <v>9458.4648199999992</v>
      </c>
      <c r="T28" s="62">
        <f t="shared" si="12"/>
        <v>9458.4648199999992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/>
      <c r="I29" s="26"/>
      <c r="J29" s="75">
        <f t="shared" si="17"/>
        <v>0</v>
      </c>
      <c r="K29" s="35"/>
      <c r="L29" s="27"/>
      <c r="M29" s="71">
        <f t="shared" si="18"/>
        <v>0</v>
      </c>
      <c r="N29" s="35">
        <f t="shared" si="19"/>
        <v>0</v>
      </c>
      <c r="O29" s="70" t="e">
        <f t="shared" si="5"/>
        <v>#DIV/0!</v>
      </c>
      <c r="P29" s="71">
        <f t="shared" si="9"/>
        <v>0</v>
      </c>
      <c r="Q29" s="35">
        <f t="shared" si="10"/>
        <v>0</v>
      </c>
      <c r="R29" s="72">
        <v>1103600</v>
      </c>
      <c r="S29" s="72">
        <f t="shared" si="11"/>
        <v>7302</v>
      </c>
      <c r="T29" s="62">
        <f t="shared" si="12"/>
        <v>7302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/>
      <c r="I30" s="26"/>
      <c r="J30" s="75">
        <f t="shared" si="17"/>
        <v>0</v>
      </c>
      <c r="K30" s="35"/>
      <c r="L30" s="27"/>
      <c r="M30" s="71">
        <f t="shared" si="18"/>
        <v>0</v>
      </c>
      <c r="N30" s="35">
        <f t="shared" si="19"/>
        <v>0</v>
      </c>
      <c r="O30" s="70" t="e">
        <f t="shared" si="5"/>
        <v>#DIV/0!</v>
      </c>
      <c r="P30" s="71">
        <f t="shared" si="9"/>
        <v>0</v>
      </c>
      <c r="Q30" s="35">
        <f t="shared" si="10"/>
        <v>0</v>
      </c>
      <c r="R30" s="72">
        <v>1103601</v>
      </c>
      <c r="S30" s="72">
        <f t="shared" si="11"/>
        <v>730</v>
      </c>
      <c r="T30" s="62">
        <f t="shared" si="12"/>
        <v>730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v>2649</v>
      </c>
      <c r="H31" s="26"/>
      <c r="I31" s="26"/>
      <c r="J31" s="75">
        <f t="shared" si="17"/>
        <v>0</v>
      </c>
      <c r="K31" s="35"/>
      <c r="L31" s="27"/>
      <c r="M31" s="71">
        <f t="shared" si="18"/>
        <v>0</v>
      </c>
      <c r="N31" s="35">
        <f t="shared" si="19"/>
        <v>0</v>
      </c>
      <c r="O31" s="70" t="e">
        <f t="shared" si="5"/>
        <v>#DIV/0!</v>
      </c>
      <c r="P31" s="71">
        <f t="shared" si="9"/>
        <v>0</v>
      </c>
      <c r="Q31" s="35">
        <f t="shared" si="10"/>
        <v>0</v>
      </c>
      <c r="R31" s="72">
        <v>1103602</v>
      </c>
      <c r="S31" s="72">
        <f t="shared" si="11"/>
        <v>2649</v>
      </c>
      <c r="T31" s="62">
        <f t="shared" si="12"/>
        <v>2649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v>27054</v>
      </c>
      <c r="H32" s="26">
        <v>400</v>
      </c>
      <c r="I32" s="26">
        <v>400</v>
      </c>
      <c r="J32" s="75">
        <f t="shared" si="17"/>
        <v>363.36</v>
      </c>
      <c r="K32" s="35"/>
      <c r="L32" s="27">
        <v>363.36</v>
      </c>
      <c r="M32" s="71">
        <f t="shared" si="18"/>
        <v>363.36</v>
      </c>
      <c r="N32" s="35">
        <f t="shared" si="19"/>
        <v>36.639999999999986</v>
      </c>
      <c r="O32" s="70">
        <f t="shared" si="5"/>
        <v>90.84</v>
      </c>
      <c r="P32" s="71">
        <f t="shared" si="9"/>
        <v>0</v>
      </c>
      <c r="Q32" s="35">
        <f t="shared" si="10"/>
        <v>36.639999999999986</v>
      </c>
      <c r="R32" s="72">
        <v>1103603</v>
      </c>
      <c r="S32" s="72">
        <f t="shared" si="11"/>
        <v>26690.639999999999</v>
      </c>
      <c r="T32" s="62">
        <f t="shared" si="12"/>
        <v>26690.639999999999</v>
      </c>
    </row>
    <row r="33" spans="1:20" s="73" customFormat="1">
      <c r="A33" s="9"/>
      <c r="B33" s="9"/>
      <c r="C33" s="9"/>
      <c r="D33" s="69"/>
      <c r="E33" s="69">
        <v>169</v>
      </c>
      <c r="F33" s="136" t="s">
        <v>103</v>
      </c>
      <c r="G33" s="26"/>
      <c r="H33" s="26"/>
      <c r="I33" s="26"/>
      <c r="J33" s="75">
        <f t="shared" si="17"/>
        <v>0</v>
      </c>
      <c r="K33" s="35"/>
      <c r="L33" s="27"/>
      <c r="M33" s="71">
        <f t="shared" si="18"/>
        <v>0</v>
      </c>
      <c r="N33" s="35">
        <f t="shared" si="19"/>
        <v>0</v>
      </c>
      <c r="O33" s="70" t="e">
        <f t="shared" si="5"/>
        <v>#DIV/0!</v>
      </c>
      <c r="P33" s="71">
        <f t="shared" si="9"/>
        <v>0</v>
      </c>
      <c r="Q33" s="35">
        <f t="shared" si="10"/>
        <v>0</v>
      </c>
      <c r="R33" s="72">
        <v>1103604</v>
      </c>
      <c r="S33" s="72">
        <f t="shared" si="11"/>
        <v>0</v>
      </c>
      <c r="T33" s="62">
        <f t="shared" si="12"/>
        <v>0</v>
      </c>
    </row>
    <row r="34" spans="1:20">
      <c r="A34" s="9"/>
      <c r="B34" s="9"/>
      <c r="C34" s="8" t="s">
        <v>16</v>
      </c>
      <c r="D34" s="69"/>
      <c r="E34" s="69"/>
      <c r="F34" s="120" t="s">
        <v>104</v>
      </c>
      <c r="G34" s="23">
        <f>G35+G36+G37</f>
        <v>0</v>
      </c>
      <c r="H34" s="23">
        <f t="shared" ref="H34:M34" si="20">H35+H36+H37</f>
        <v>0</v>
      </c>
      <c r="I34" s="23">
        <f t="shared" si="20"/>
        <v>0</v>
      </c>
      <c r="J34" s="23">
        <f t="shared" si="20"/>
        <v>0</v>
      </c>
      <c r="K34" s="23">
        <f t="shared" si="20"/>
        <v>0</v>
      </c>
      <c r="L34" s="24">
        <f t="shared" si="20"/>
        <v>0</v>
      </c>
      <c r="M34" s="38">
        <f t="shared" si="20"/>
        <v>0</v>
      </c>
      <c r="N34" s="24">
        <f>N35+N36+N37</f>
        <v>0</v>
      </c>
      <c r="O34" s="70" t="e">
        <f t="shared" si="5"/>
        <v>#DIV/0!</v>
      </c>
      <c r="P34" s="71">
        <f t="shared" si="9"/>
        <v>0</v>
      </c>
      <c r="Q34" s="35">
        <f t="shared" si="10"/>
        <v>0</v>
      </c>
      <c r="R34" s="72">
        <v>1103605</v>
      </c>
      <c r="S34" s="72">
        <f t="shared" si="11"/>
        <v>0</v>
      </c>
      <c r="T34" s="62">
        <f t="shared" si="12"/>
        <v>0</v>
      </c>
    </row>
    <row r="35" spans="1:20">
      <c r="A35" s="9"/>
      <c r="B35" s="9"/>
      <c r="C35" s="8"/>
      <c r="D35" s="69"/>
      <c r="E35" s="69">
        <v>413</v>
      </c>
      <c r="F35" s="78" t="s">
        <v>152</v>
      </c>
      <c r="G35" s="26"/>
      <c r="H35" s="26"/>
      <c r="I35" s="26"/>
      <c r="J35" s="105"/>
      <c r="K35" s="35"/>
      <c r="L35" s="27"/>
      <c r="M35" s="71">
        <f t="shared" ref="M35:M37" si="21">K35+L35</f>
        <v>0</v>
      </c>
      <c r="N35" s="27"/>
      <c r="O35" s="70" t="e">
        <f t="shared" si="5"/>
        <v>#DIV/0!</v>
      </c>
      <c r="P35" s="71">
        <f t="shared" si="9"/>
        <v>0</v>
      </c>
      <c r="Q35" s="35">
        <f t="shared" si="10"/>
        <v>0</v>
      </c>
      <c r="R35" s="72">
        <v>1103606</v>
      </c>
      <c r="S35" s="72">
        <f t="shared" si="11"/>
        <v>0</v>
      </c>
      <c r="T35" s="62">
        <f t="shared" si="12"/>
        <v>0</v>
      </c>
    </row>
    <row r="36" spans="1:20" ht="25.5">
      <c r="A36" s="9"/>
      <c r="B36" s="9"/>
      <c r="C36" s="9"/>
      <c r="D36" s="69"/>
      <c r="E36" s="69">
        <v>414</v>
      </c>
      <c r="F36" s="50" t="s">
        <v>105</v>
      </c>
      <c r="G36" s="26"/>
      <c r="H36" s="26"/>
      <c r="I36" s="26"/>
      <c r="J36" s="105">
        <f>M36</f>
        <v>0</v>
      </c>
      <c r="K36" s="35"/>
      <c r="L36" s="27"/>
      <c r="M36" s="71">
        <f t="shared" si="21"/>
        <v>0</v>
      </c>
      <c r="N36" s="35">
        <f t="shared" ref="N36:N37" si="22">I36-M36</f>
        <v>0</v>
      </c>
      <c r="O36" s="70" t="e">
        <f t="shared" si="5"/>
        <v>#DIV/0!</v>
      </c>
      <c r="P36" s="71">
        <f t="shared" si="9"/>
        <v>0</v>
      </c>
      <c r="Q36" s="35">
        <f t="shared" si="10"/>
        <v>0</v>
      </c>
      <c r="R36" s="72">
        <v>1103607</v>
      </c>
      <c r="S36" s="72">
        <f t="shared" si="11"/>
        <v>0</v>
      </c>
      <c r="T36" s="62">
        <f t="shared" si="12"/>
        <v>0</v>
      </c>
    </row>
    <row r="37" spans="1:20">
      <c r="A37" s="9"/>
      <c r="B37" s="9"/>
      <c r="C37" s="9"/>
      <c r="D37" s="69"/>
      <c r="E37" s="69">
        <v>419</v>
      </c>
      <c r="F37" s="86" t="s">
        <v>153</v>
      </c>
      <c r="G37" s="26"/>
      <c r="H37" s="26"/>
      <c r="I37" s="26"/>
      <c r="J37" s="105">
        <f>M37</f>
        <v>0</v>
      </c>
      <c r="K37" s="35"/>
      <c r="L37" s="27"/>
      <c r="M37" s="71">
        <f t="shared" si="21"/>
        <v>0</v>
      </c>
      <c r="N37" s="35">
        <f t="shared" si="22"/>
        <v>0</v>
      </c>
      <c r="O37" s="70" t="e">
        <f t="shared" si="5"/>
        <v>#DIV/0!</v>
      </c>
      <c r="P37" s="71">
        <f t="shared" si="9"/>
        <v>0</v>
      </c>
      <c r="Q37" s="35">
        <f t="shared" si="10"/>
        <v>0</v>
      </c>
      <c r="R37" s="72">
        <v>1103608</v>
      </c>
      <c r="S37" s="72">
        <f t="shared" si="11"/>
        <v>0</v>
      </c>
    </row>
    <row r="38" spans="1:20" ht="25.5">
      <c r="A38" s="9"/>
      <c r="B38" s="9"/>
      <c r="C38" s="8" t="s">
        <v>15</v>
      </c>
      <c r="D38" s="21"/>
      <c r="E38" s="21"/>
      <c r="F38" s="120" t="s">
        <v>106</v>
      </c>
      <c r="G38" s="59">
        <f t="shared" ref="G38:N38" si="23">G39</f>
        <v>10400</v>
      </c>
      <c r="H38" s="59">
        <f t="shared" si="23"/>
        <v>0</v>
      </c>
      <c r="I38" s="59">
        <f>I39</f>
        <v>0</v>
      </c>
      <c r="J38" s="33">
        <f t="shared" si="23"/>
        <v>0</v>
      </c>
      <c r="K38" s="29">
        <f t="shared" si="23"/>
        <v>0</v>
      </c>
      <c r="L38" s="29">
        <f t="shared" si="23"/>
        <v>0</v>
      </c>
      <c r="M38" s="29">
        <f t="shared" si="23"/>
        <v>0</v>
      </c>
      <c r="N38" s="29">
        <f t="shared" si="23"/>
        <v>0</v>
      </c>
      <c r="O38" s="70" t="e">
        <f t="shared" si="5"/>
        <v>#DIV/0!</v>
      </c>
      <c r="P38" s="71">
        <f t="shared" si="9"/>
        <v>0</v>
      </c>
      <c r="Q38" s="35">
        <f t="shared" si="10"/>
        <v>0</v>
      </c>
      <c r="R38" s="72">
        <v>1103609</v>
      </c>
      <c r="S38" s="72">
        <f t="shared" si="11"/>
        <v>10400</v>
      </c>
      <c r="T38" s="62">
        <f t="shared" si="12"/>
        <v>10400</v>
      </c>
    </row>
    <row r="39" spans="1:20">
      <c r="A39" s="9"/>
      <c r="B39" s="9"/>
      <c r="C39" s="8"/>
      <c r="D39" s="54" t="s">
        <v>35</v>
      </c>
      <c r="E39" s="69"/>
      <c r="F39" s="122"/>
      <c r="G39" s="37">
        <f>G40</f>
        <v>10400</v>
      </c>
      <c r="H39" s="37">
        <f>H40</f>
        <v>0</v>
      </c>
      <c r="I39" s="37">
        <f>I40</f>
        <v>0</v>
      </c>
      <c r="J39" s="75">
        <f>J40</f>
        <v>0</v>
      </c>
      <c r="K39" s="35"/>
      <c r="L39" s="35"/>
      <c r="M39" s="71">
        <f>M40</f>
        <v>0</v>
      </c>
      <c r="N39" s="35">
        <f>N40</f>
        <v>0</v>
      </c>
      <c r="O39" s="70" t="e">
        <f t="shared" si="5"/>
        <v>#DIV/0!</v>
      </c>
      <c r="P39" s="71">
        <f t="shared" si="9"/>
        <v>0</v>
      </c>
      <c r="Q39" s="35">
        <f t="shared" si="10"/>
        <v>0</v>
      </c>
      <c r="R39" s="72">
        <v>1103610</v>
      </c>
      <c r="S39" s="72">
        <f t="shared" si="11"/>
        <v>10400</v>
      </c>
      <c r="T39" s="62">
        <f t="shared" si="12"/>
        <v>10400</v>
      </c>
    </row>
    <row r="40" spans="1:20" ht="25.5">
      <c r="A40" s="9"/>
      <c r="B40" s="9"/>
      <c r="C40" s="9"/>
      <c r="D40" s="69"/>
      <c r="E40" s="69">
        <v>155</v>
      </c>
      <c r="F40" s="117" t="s">
        <v>107</v>
      </c>
      <c r="G40" s="37">
        <v>10400</v>
      </c>
      <c r="H40" s="37">
        <v>0</v>
      </c>
      <c r="I40" s="37">
        <v>0</v>
      </c>
      <c r="J40" s="75">
        <f>M40</f>
        <v>0</v>
      </c>
      <c r="K40" s="35"/>
      <c r="L40" s="35"/>
      <c r="M40" s="71">
        <f t="shared" ref="M40" si="24">K40+L40</f>
        <v>0</v>
      </c>
      <c r="N40" s="35">
        <f t="shared" ref="N40" si="25">I40-M40</f>
        <v>0</v>
      </c>
      <c r="O40" s="70" t="e">
        <f t="shared" ref="O40:O43" si="26">M40/I40*100</f>
        <v>#DIV/0!</v>
      </c>
      <c r="P40" s="71">
        <f t="shared" si="9"/>
        <v>0</v>
      </c>
      <c r="Q40" s="35">
        <f t="shared" si="10"/>
        <v>0</v>
      </c>
      <c r="R40" s="72">
        <v>1103611</v>
      </c>
      <c r="S40" s="72">
        <f t="shared" si="11"/>
        <v>10400</v>
      </c>
      <c r="T40" s="62">
        <f t="shared" si="12"/>
        <v>10400</v>
      </c>
    </row>
    <row r="41" spans="1:20" ht="51">
      <c r="A41" s="118"/>
      <c r="B41" s="118"/>
      <c r="C41" s="119" t="s">
        <v>61</v>
      </c>
      <c r="D41" s="116"/>
      <c r="E41" s="116"/>
      <c r="F41" s="120" t="s">
        <v>62</v>
      </c>
      <c r="G41" s="37">
        <f t="shared" ref="G41:G42" si="27">G42</f>
        <v>1064315</v>
      </c>
      <c r="H41" s="37">
        <f t="shared" ref="H41:H42" si="28">H42</f>
        <v>0</v>
      </c>
      <c r="I41" s="37">
        <f t="shared" ref="I41:I42" si="29">I42</f>
        <v>0</v>
      </c>
      <c r="J41" s="75">
        <f t="shared" ref="J41:J42" si="30">J42</f>
        <v>0</v>
      </c>
      <c r="K41" s="35"/>
      <c r="L41" s="35"/>
      <c r="M41" s="71">
        <f t="shared" ref="M41:M42" si="31">M42</f>
        <v>0</v>
      </c>
      <c r="N41" s="35">
        <f t="shared" ref="N41:N42" si="32">N42</f>
        <v>0</v>
      </c>
      <c r="O41" s="70" t="e">
        <f t="shared" si="26"/>
        <v>#DIV/0!</v>
      </c>
      <c r="P41" s="71">
        <f t="shared" si="9"/>
        <v>0</v>
      </c>
      <c r="Q41" s="35">
        <f t="shared" si="10"/>
        <v>0</v>
      </c>
      <c r="R41" s="72">
        <v>1103612</v>
      </c>
      <c r="S41" s="72">
        <f t="shared" si="11"/>
        <v>1064315</v>
      </c>
    </row>
    <row r="42" spans="1:20">
      <c r="A42" s="118"/>
      <c r="B42" s="118"/>
      <c r="C42" s="116"/>
      <c r="D42" s="121" t="s">
        <v>35</v>
      </c>
      <c r="E42" s="118"/>
      <c r="F42" s="122"/>
      <c r="G42" s="37">
        <f t="shared" si="27"/>
        <v>1064315</v>
      </c>
      <c r="H42" s="37">
        <f t="shared" si="28"/>
        <v>0</v>
      </c>
      <c r="I42" s="37">
        <f t="shared" si="29"/>
        <v>0</v>
      </c>
      <c r="J42" s="75">
        <f t="shared" si="30"/>
        <v>0</v>
      </c>
      <c r="K42" s="35"/>
      <c r="L42" s="35"/>
      <c r="M42" s="71">
        <f t="shared" si="31"/>
        <v>0</v>
      </c>
      <c r="N42" s="35">
        <f t="shared" si="32"/>
        <v>0</v>
      </c>
      <c r="O42" s="70" t="e">
        <f t="shared" si="26"/>
        <v>#DIV/0!</v>
      </c>
      <c r="P42" s="71">
        <f t="shared" si="9"/>
        <v>0</v>
      </c>
      <c r="Q42" s="35">
        <f t="shared" si="10"/>
        <v>0</v>
      </c>
      <c r="R42" s="72">
        <v>1103613</v>
      </c>
      <c r="S42" s="72">
        <f t="shared" si="11"/>
        <v>1064315</v>
      </c>
    </row>
    <row r="43" spans="1:20" ht="25.5">
      <c r="A43" s="118"/>
      <c r="B43" s="118"/>
      <c r="C43" s="118"/>
      <c r="D43" s="118"/>
      <c r="E43" s="118">
        <v>361</v>
      </c>
      <c r="F43" s="117" t="s">
        <v>63</v>
      </c>
      <c r="G43" s="37">
        <v>1064315</v>
      </c>
      <c r="H43" s="37">
        <v>0</v>
      </c>
      <c r="I43" s="37">
        <v>0</v>
      </c>
      <c r="J43" s="75">
        <f>M43</f>
        <v>0</v>
      </c>
      <c r="K43" s="35"/>
      <c r="L43" s="35"/>
      <c r="M43" s="71">
        <f t="shared" ref="M43" si="33">K43+L43</f>
        <v>0</v>
      </c>
      <c r="N43" s="35">
        <f t="shared" ref="N43" si="34">I43-M43</f>
        <v>0</v>
      </c>
      <c r="O43" s="70" t="e">
        <f t="shared" si="26"/>
        <v>#DIV/0!</v>
      </c>
      <c r="P43" s="71">
        <f t="shared" si="9"/>
        <v>0</v>
      </c>
      <c r="Q43" s="35">
        <f t="shared" si="10"/>
        <v>0</v>
      </c>
      <c r="R43" s="72">
        <v>1103614</v>
      </c>
      <c r="S43" s="72">
        <f t="shared" si="11"/>
        <v>1064315</v>
      </c>
    </row>
    <row r="44" spans="1:20" s="73" customFormat="1" ht="25.5">
      <c r="A44" s="8"/>
      <c r="B44" s="8"/>
      <c r="C44" s="8" t="s">
        <v>21</v>
      </c>
      <c r="D44" s="10"/>
      <c r="E44" s="10"/>
      <c r="F44" s="137" t="s">
        <v>108</v>
      </c>
      <c r="G44" s="81">
        <f>G45</f>
        <v>1334726</v>
      </c>
      <c r="H44" s="81">
        <f t="shared" ref="H44:N45" si="35">H45</f>
        <v>314536</v>
      </c>
      <c r="I44" s="81">
        <f t="shared" si="35"/>
        <v>125000</v>
      </c>
      <c r="J44" s="81">
        <f t="shared" si="35"/>
        <v>125000</v>
      </c>
      <c r="K44" s="81">
        <f t="shared" si="35"/>
        <v>0</v>
      </c>
      <c r="L44" s="81">
        <f t="shared" si="35"/>
        <v>125000</v>
      </c>
      <c r="M44" s="81">
        <f t="shared" si="35"/>
        <v>125000</v>
      </c>
      <c r="N44" s="81">
        <f t="shared" si="35"/>
        <v>0</v>
      </c>
      <c r="O44" s="68">
        <f t="shared" si="5"/>
        <v>100</v>
      </c>
      <c r="P44" s="71">
        <f t="shared" si="9"/>
        <v>0</v>
      </c>
      <c r="Q44" s="35">
        <f t="shared" si="10"/>
        <v>189536</v>
      </c>
      <c r="R44" s="72">
        <v>1103615</v>
      </c>
      <c r="S44" s="72">
        <f t="shared" si="11"/>
        <v>1209726</v>
      </c>
      <c r="T44" s="62">
        <f t="shared" si="12"/>
        <v>1209726</v>
      </c>
    </row>
    <row r="45" spans="1:20" s="73" customFormat="1">
      <c r="A45" s="8"/>
      <c r="B45" s="8"/>
      <c r="C45" s="8"/>
      <c r="D45" s="43" t="s">
        <v>7</v>
      </c>
      <c r="E45" s="44"/>
      <c r="F45" s="135" t="s">
        <v>85</v>
      </c>
      <c r="G45" s="82">
        <f>G46</f>
        <v>1334726</v>
      </c>
      <c r="H45" s="82">
        <f t="shared" si="35"/>
        <v>314536</v>
      </c>
      <c r="I45" s="82">
        <f t="shared" si="35"/>
        <v>125000</v>
      </c>
      <c r="J45" s="82">
        <f t="shared" si="35"/>
        <v>125000</v>
      </c>
      <c r="K45" s="82">
        <f t="shared" si="35"/>
        <v>0</v>
      </c>
      <c r="L45" s="82">
        <f t="shared" si="35"/>
        <v>125000</v>
      </c>
      <c r="M45" s="82">
        <f t="shared" si="35"/>
        <v>125000</v>
      </c>
      <c r="N45" s="82">
        <f t="shared" si="35"/>
        <v>0</v>
      </c>
      <c r="O45" s="70">
        <f t="shared" ref="O45:O73" si="36">M45/I45*100</f>
        <v>100</v>
      </c>
      <c r="P45" s="71">
        <f t="shared" si="9"/>
        <v>0</v>
      </c>
      <c r="Q45" s="35">
        <f t="shared" si="10"/>
        <v>189536</v>
      </c>
      <c r="R45" s="72">
        <v>1103616</v>
      </c>
      <c r="S45" s="72">
        <f t="shared" si="11"/>
        <v>1209726</v>
      </c>
      <c r="T45" s="62"/>
    </row>
    <row r="46" spans="1:20" s="73" customFormat="1" ht="25.5">
      <c r="A46" s="8"/>
      <c r="B46" s="8"/>
      <c r="C46" s="8"/>
      <c r="D46" s="45"/>
      <c r="E46" s="46">
        <v>339</v>
      </c>
      <c r="F46" s="138" t="s">
        <v>109</v>
      </c>
      <c r="G46" s="84">
        <f>SUM(G47:G54)</f>
        <v>1334726</v>
      </c>
      <c r="H46" s="84">
        <f t="shared" ref="H46:K46" si="37">SUM(H47:H54)</f>
        <v>314536</v>
      </c>
      <c r="I46" s="84">
        <f>SUM(I47:I54)</f>
        <v>125000</v>
      </c>
      <c r="J46" s="108">
        <f t="shared" si="37"/>
        <v>125000</v>
      </c>
      <c r="K46" s="84">
        <f t="shared" si="37"/>
        <v>0</v>
      </c>
      <c r="L46" s="84">
        <f>SUM(L47:L54)</f>
        <v>125000</v>
      </c>
      <c r="M46" s="84">
        <f>SUM(M47:M54)</f>
        <v>125000</v>
      </c>
      <c r="N46" s="84">
        <f>SUM(N47:N54)</f>
        <v>0</v>
      </c>
      <c r="O46" s="70">
        <f t="shared" si="36"/>
        <v>100</v>
      </c>
      <c r="P46" s="71">
        <f t="shared" si="9"/>
        <v>0</v>
      </c>
      <c r="Q46" s="35">
        <f t="shared" si="10"/>
        <v>189536</v>
      </c>
      <c r="R46" s="72">
        <v>1103617</v>
      </c>
      <c r="S46" s="72">
        <f t="shared" si="11"/>
        <v>1209726</v>
      </c>
      <c r="T46" s="62"/>
    </row>
    <row r="47" spans="1:20" s="73" customFormat="1">
      <c r="A47" s="8"/>
      <c r="B47" s="8"/>
      <c r="C47" s="8"/>
      <c r="D47" s="45"/>
      <c r="E47" s="46"/>
      <c r="F47" s="47" t="s">
        <v>46</v>
      </c>
      <c r="G47" s="83">
        <f>G57+G66+G75+G84</f>
        <v>461583</v>
      </c>
      <c r="H47" s="83">
        <f t="shared" ref="H47:M47" si="38">H57+H66+H75+H84</f>
        <v>0</v>
      </c>
      <c r="I47" s="83">
        <f t="shared" si="38"/>
        <v>0</v>
      </c>
      <c r="J47" s="83">
        <f t="shared" si="38"/>
        <v>0</v>
      </c>
      <c r="K47" s="83">
        <f t="shared" si="38"/>
        <v>0</v>
      </c>
      <c r="L47" s="83">
        <f t="shared" si="38"/>
        <v>0</v>
      </c>
      <c r="M47" s="83">
        <f t="shared" si="38"/>
        <v>0</v>
      </c>
      <c r="N47" s="35">
        <f t="shared" ref="N47:N63" si="39">I47-M47</f>
        <v>0</v>
      </c>
      <c r="O47" s="70" t="e">
        <f t="shared" si="36"/>
        <v>#DIV/0!</v>
      </c>
      <c r="P47" s="71">
        <f t="shared" si="9"/>
        <v>0</v>
      </c>
      <c r="Q47" s="35">
        <f t="shared" si="10"/>
        <v>0</v>
      </c>
      <c r="R47" s="72">
        <v>1103618</v>
      </c>
      <c r="S47" s="72">
        <f t="shared" si="11"/>
        <v>461583</v>
      </c>
      <c r="T47" s="62"/>
    </row>
    <row r="48" spans="1:20" s="73" customFormat="1">
      <c r="A48" s="8"/>
      <c r="B48" s="8"/>
      <c r="C48" s="8"/>
      <c r="D48" s="45"/>
      <c r="E48" s="46"/>
      <c r="F48" s="47" t="s">
        <v>8</v>
      </c>
      <c r="G48" s="83">
        <f t="shared" ref="G48:M54" si="40">G58+G67+G76+G85</f>
        <v>55439</v>
      </c>
      <c r="H48" s="83">
        <f t="shared" si="40"/>
        <v>0</v>
      </c>
      <c r="I48" s="83">
        <f t="shared" si="40"/>
        <v>0</v>
      </c>
      <c r="J48" s="83">
        <f t="shared" si="40"/>
        <v>0</v>
      </c>
      <c r="K48" s="83">
        <f t="shared" si="40"/>
        <v>0</v>
      </c>
      <c r="L48" s="83">
        <f t="shared" si="40"/>
        <v>0</v>
      </c>
      <c r="M48" s="83">
        <f t="shared" si="40"/>
        <v>0</v>
      </c>
      <c r="N48" s="35">
        <f t="shared" si="39"/>
        <v>0</v>
      </c>
      <c r="O48" s="70" t="e">
        <f t="shared" si="36"/>
        <v>#DIV/0!</v>
      </c>
      <c r="P48" s="71">
        <f t="shared" si="9"/>
        <v>0</v>
      </c>
      <c r="Q48" s="35">
        <f t="shared" si="10"/>
        <v>0</v>
      </c>
      <c r="R48" s="72">
        <v>1103619</v>
      </c>
      <c r="S48" s="72">
        <f t="shared" si="11"/>
        <v>55439</v>
      </c>
      <c r="T48" s="62"/>
    </row>
    <row r="49" spans="1:20" s="73" customFormat="1">
      <c r="A49" s="8"/>
      <c r="B49" s="8"/>
      <c r="C49" s="8"/>
      <c r="D49" s="45"/>
      <c r="E49" s="46"/>
      <c r="F49" s="49" t="s">
        <v>9</v>
      </c>
      <c r="G49" s="83">
        <f t="shared" si="40"/>
        <v>120211</v>
      </c>
      <c r="H49" s="83">
        <f t="shared" si="40"/>
        <v>0</v>
      </c>
      <c r="I49" s="83">
        <f t="shared" si="40"/>
        <v>0</v>
      </c>
      <c r="J49" s="83">
        <f t="shared" si="40"/>
        <v>0</v>
      </c>
      <c r="K49" s="83">
        <f t="shared" si="40"/>
        <v>0</v>
      </c>
      <c r="L49" s="83">
        <f t="shared" si="40"/>
        <v>0</v>
      </c>
      <c r="M49" s="83">
        <f t="shared" si="40"/>
        <v>0</v>
      </c>
      <c r="N49" s="35">
        <f t="shared" si="39"/>
        <v>0</v>
      </c>
      <c r="O49" s="70" t="e">
        <f t="shared" si="36"/>
        <v>#DIV/0!</v>
      </c>
      <c r="P49" s="71">
        <f t="shared" si="9"/>
        <v>0</v>
      </c>
      <c r="Q49" s="35">
        <f t="shared" si="10"/>
        <v>0</v>
      </c>
      <c r="R49" s="72">
        <v>1103620</v>
      </c>
      <c r="S49" s="72">
        <f t="shared" si="11"/>
        <v>120211</v>
      </c>
      <c r="T49" s="62"/>
    </row>
    <row r="50" spans="1:20" s="73" customFormat="1">
      <c r="A50" s="8"/>
      <c r="B50" s="8"/>
      <c r="C50" s="8"/>
      <c r="D50" s="45"/>
      <c r="E50" s="46"/>
      <c r="F50" s="49" t="s">
        <v>10</v>
      </c>
      <c r="G50" s="83">
        <f t="shared" si="40"/>
        <v>44998</v>
      </c>
      <c r="H50" s="83">
        <f t="shared" si="40"/>
        <v>0</v>
      </c>
      <c r="I50" s="83">
        <f t="shared" si="40"/>
        <v>0</v>
      </c>
      <c r="J50" s="83">
        <f t="shared" si="40"/>
        <v>0</v>
      </c>
      <c r="K50" s="83">
        <f t="shared" si="40"/>
        <v>0</v>
      </c>
      <c r="L50" s="83">
        <f t="shared" si="40"/>
        <v>0</v>
      </c>
      <c r="M50" s="83">
        <f t="shared" si="40"/>
        <v>0</v>
      </c>
      <c r="N50" s="35">
        <f t="shared" si="39"/>
        <v>0</v>
      </c>
      <c r="O50" s="70" t="e">
        <f t="shared" si="36"/>
        <v>#DIV/0!</v>
      </c>
      <c r="P50" s="71">
        <f t="shared" si="9"/>
        <v>0</v>
      </c>
      <c r="Q50" s="35">
        <f t="shared" si="10"/>
        <v>0</v>
      </c>
      <c r="R50" s="72">
        <v>1103621</v>
      </c>
      <c r="S50" s="72">
        <f t="shared" si="11"/>
        <v>44998</v>
      </c>
      <c r="T50" s="62"/>
    </row>
    <row r="51" spans="1:20" s="73" customFormat="1">
      <c r="A51" s="8"/>
      <c r="B51" s="8"/>
      <c r="C51" s="8"/>
      <c r="D51" s="45"/>
      <c r="E51" s="46"/>
      <c r="F51" s="49" t="s">
        <v>47</v>
      </c>
      <c r="G51" s="83">
        <f t="shared" si="40"/>
        <v>81363</v>
      </c>
      <c r="H51" s="83">
        <f t="shared" si="40"/>
        <v>0</v>
      </c>
      <c r="I51" s="83">
        <f t="shared" si="40"/>
        <v>0</v>
      </c>
      <c r="J51" s="83">
        <f t="shared" si="40"/>
        <v>0</v>
      </c>
      <c r="K51" s="83">
        <f t="shared" si="40"/>
        <v>0</v>
      </c>
      <c r="L51" s="83">
        <f t="shared" si="40"/>
        <v>0</v>
      </c>
      <c r="M51" s="83">
        <f t="shared" si="40"/>
        <v>0</v>
      </c>
      <c r="N51" s="35">
        <f t="shared" si="39"/>
        <v>0</v>
      </c>
      <c r="O51" s="70" t="e">
        <f t="shared" si="36"/>
        <v>#DIV/0!</v>
      </c>
      <c r="P51" s="71">
        <f t="shared" si="9"/>
        <v>0</v>
      </c>
      <c r="Q51" s="35">
        <f t="shared" si="10"/>
        <v>0</v>
      </c>
      <c r="R51" s="72">
        <v>1103622</v>
      </c>
      <c r="S51" s="72">
        <f t="shared" si="11"/>
        <v>81363</v>
      </c>
      <c r="T51" s="62"/>
    </row>
    <row r="52" spans="1:20" s="73" customFormat="1">
      <c r="A52" s="8"/>
      <c r="B52" s="8"/>
      <c r="C52" s="8"/>
      <c r="D52" s="45"/>
      <c r="E52" s="46"/>
      <c r="F52" s="49" t="s">
        <v>48</v>
      </c>
      <c r="G52" s="83">
        <f t="shared" si="40"/>
        <v>132688</v>
      </c>
      <c r="H52" s="83">
        <f t="shared" si="40"/>
        <v>0</v>
      </c>
      <c r="I52" s="83">
        <f t="shared" si="40"/>
        <v>0</v>
      </c>
      <c r="J52" s="83">
        <f t="shared" si="40"/>
        <v>0</v>
      </c>
      <c r="K52" s="83">
        <f t="shared" si="40"/>
        <v>0</v>
      </c>
      <c r="L52" s="83">
        <f t="shared" si="40"/>
        <v>0</v>
      </c>
      <c r="M52" s="83">
        <f t="shared" si="40"/>
        <v>0</v>
      </c>
      <c r="N52" s="35">
        <f t="shared" si="39"/>
        <v>0</v>
      </c>
      <c r="O52" s="70" t="e">
        <f t="shared" si="36"/>
        <v>#DIV/0!</v>
      </c>
      <c r="P52" s="71">
        <f t="shared" si="9"/>
        <v>0</v>
      </c>
      <c r="Q52" s="35">
        <f t="shared" si="10"/>
        <v>0</v>
      </c>
      <c r="R52" s="72">
        <v>1103623</v>
      </c>
      <c r="S52" s="72">
        <f t="shared" si="11"/>
        <v>132688</v>
      </c>
      <c r="T52" s="62"/>
    </row>
    <row r="53" spans="1:20" s="73" customFormat="1">
      <c r="A53" s="8"/>
      <c r="B53" s="8"/>
      <c r="C53" s="8"/>
      <c r="D53" s="45"/>
      <c r="E53" s="46"/>
      <c r="F53" s="49" t="s">
        <v>12</v>
      </c>
      <c r="G53" s="83">
        <f t="shared" si="40"/>
        <v>369923</v>
      </c>
      <c r="H53" s="83">
        <f t="shared" si="40"/>
        <v>314536</v>
      </c>
      <c r="I53" s="83">
        <f t="shared" si="40"/>
        <v>125000</v>
      </c>
      <c r="J53" s="83">
        <f t="shared" si="40"/>
        <v>125000</v>
      </c>
      <c r="K53" s="83">
        <f t="shared" si="40"/>
        <v>0</v>
      </c>
      <c r="L53" s="83">
        <f t="shared" si="40"/>
        <v>125000</v>
      </c>
      <c r="M53" s="83">
        <f t="shared" si="40"/>
        <v>125000</v>
      </c>
      <c r="N53" s="35">
        <f t="shared" si="39"/>
        <v>0</v>
      </c>
      <c r="O53" s="70">
        <f t="shared" si="36"/>
        <v>100</v>
      </c>
      <c r="P53" s="71">
        <f t="shared" si="9"/>
        <v>0</v>
      </c>
      <c r="Q53" s="35">
        <f t="shared" si="10"/>
        <v>189536</v>
      </c>
      <c r="R53" s="72">
        <v>1103624</v>
      </c>
      <c r="S53" s="72">
        <f t="shared" si="11"/>
        <v>244923</v>
      </c>
      <c r="T53" s="62"/>
    </row>
    <row r="54" spans="1:20" s="73" customFormat="1">
      <c r="A54" s="8"/>
      <c r="B54" s="8"/>
      <c r="C54" s="8"/>
      <c r="D54" s="45"/>
      <c r="E54" s="46"/>
      <c r="F54" s="49" t="s">
        <v>11</v>
      </c>
      <c r="G54" s="83">
        <f t="shared" si="40"/>
        <v>68521</v>
      </c>
      <c r="H54" s="83">
        <f t="shared" si="40"/>
        <v>0</v>
      </c>
      <c r="I54" s="83">
        <f t="shared" si="40"/>
        <v>0</v>
      </c>
      <c r="J54" s="83">
        <f t="shared" si="40"/>
        <v>0</v>
      </c>
      <c r="K54" s="83">
        <f t="shared" si="40"/>
        <v>0</v>
      </c>
      <c r="L54" s="83">
        <f t="shared" si="40"/>
        <v>0</v>
      </c>
      <c r="M54" s="83">
        <f t="shared" si="40"/>
        <v>0</v>
      </c>
      <c r="N54" s="35">
        <f t="shared" si="39"/>
        <v>0</v>
      </c>
      <c r="O54" s="70" t="e">
        <f t="shared" si="36"/>
        <v>#DIV/0!</v>
      </c>
      <c r="P54" s="71">
        <f t="shared" si="9"/>
        <v>0</v>
      </c>
      <c r="Q54" s="35">
        <f t="shared" si="10"/>
        <v>0</v>
      </c>
      <c r="R54" s="72">
        <v>1103625</v>
      </c>
      <c r="S54" s="72">
        <f t="shared" si="11"/>
        <v>68521</v>
      </c>
      <c r="T54" s="62"/>
    </row>
    <row r="55" spans="1:20" s="73" customFormat="1">
      <c r="A55" s="8"/>
      <c r="B55" s="8"/>
      <c r="C55" s="8"/>
      <c r="D55" s="45"/>
      <c r="E55" s="46"/>
      <c r="F55" s="50" t="s">
        <v>110</v>
      </c>
      <c r="G55" s="82"/>
      <c r="H55" s="82"/>
      <c r="I55" s="82"/>
      <c r="J55" s="75" t="e">
        <f t="shared" ref="J55:J73" si="41">M55</f>
        <v>#REF!</v>
      </c>
      <c r="K55" s="35" t="e">
        <f>#REF!</f>
        <v>#REF!</v>
      </c>
      <c r="L55" s="35"/>
      <c r="M55" s="80" t="e">
        <f t="shared" ref="M55:M73" si="42">K55+L55</f>
        <v>#REF!</v>
      </c>
      <c r="N55" s="35" t="e">
        <f t="shared" si="39"/>
        <v>#REF!</v>
      </c>
      <c r="O55" s="70" t="e">
        <f t="shared" si="36"/>
        <v>#REF!</v>
      </c>
      <c r="P55" s="71" t="e">
        <f t="shared" si="9"/>
        <v>#REF!</v>
      </c>
      <c r="Q55" s="35" t="e">
        <f t="shared" si="10"/>
        <v>#REF!</v>
      </c>
      <c r="R55" s="72">
        <v>1103626</v>
      </c>
      <c r="S55" s="72" t="e">
        <f t="shared" si="11"/>
        <v>#REF!</v>
      </c>
      <c r="T55" s="62"/>
    </row>
    <row r="56" spans="1:20" s="73" customFormat="1">
      <c r="A56" s="8"/>
      <c r="B56" s="8"/>
      <c r="C56" s="8"/>
      <c r="D56" s="44"/>
      <c r="E56" s="52"/>
      <c r="F56" s="53" t="s">
        <v>111</v>
      </c>
      <c r="G56" s="84">
        <f>SUM(G57:G64)</f>
        <v>615150</v>
      </c>
      <c r="H56" s="84">
        <f t="shared" ref="H56:N56" si="43">SUM(H57:H64)</f>
        <v>0</v>
      </c>
      <c r="I56" s="84">
        <f t="shared" si="43"/>
        <v>0</v>
      </c>
      <c r="J56" s="108">
        <f t="shared" si="43"/>
        <v>0</v>
      </c>
      <c r="K56" s="84">
        <f t="shared" si="43"/>
        <v>0</v>
      </c>
      <c r="L56" s="84">
        <f t="shared" si="43"/>
        <v>0</v>
      </c>
      <c r="M56" s="84">
        <f t="shared" si="43"/>
        <v>0</v>
      </c>
      <c r="N56" s="84">
        <f t="shared" si="43"/>
        <v>0</v>
      </c>
      <c r="O56" s="70" t="e">
        <f t="shared" si="36"/>
        <v>#DIV/0!</v>
      </c>
      <c r="P56" s="71">
        <f t="shared" si="9"/>
        <v>0</v>
      </c>
      <c r="Q56" s="35">
        <f t="shared" si="10"/>
        <v>0</v>
      </c>
      <c r="R56" s="72">
        <v>1103627</v>
      </c>
      <c r="S56" s="72">
        <f t="shared" si="11"/>
        <v>615150</v>
      </c>
      <c r="T56" s="62"/>
    </row>
    <row r="57" spans="1:20" s="73" customFormat="1">
      <c r="A57" s="8"/>
      <c r="B57" s="8"/>
      <c r="C57" s="8"/>
      <c r="D57" s="45"/>
      <c r="E57" s="45"/>
      <c r="F57" s="47" t="s">
        <v>46</v>
      </c>
      <c r="G57" s="83">
        <v>233757</v>
      </c>
      <c r="H57" s="83"/>
      <c r="I57" s="83"/>
      <c r="J57" s="75">
        <f>M57</f>
        <v>0</v>
      </c>
      <c r="K57" s="114"/>
      <c r="L57" s="35"/>
      <c r="M57" s="80">
        <f t="shared" si="42"/>
        <v>0</v>
      </c>
      <c r="N57" s="35">
        <f t="shared" si="39"/>
        <v>0</v>
      </c>
      <c r="O57" s="70" t="e">
        <f t="shared" si="36"/>
        <v>#DIV/0!</v>
      </c>
      <c r="P57" s="71">
        <f t="shared" si="9"/>
        <v>0</v>
      </c>
      <c r="Q57" s="35">
        <f t="shared" si="10"/>
        <v>0</v>
      </c>
      <c r="R57" s="72">
        <v>1103628</v>
      </c>
      <c r="S57" s="72">
        <f t="shared" si="11"/>
        <v>233757</v>
      </c>
      <c r="T57" s="62"/>
    </row>
    <row r="58" spans="1:20" s="73" customFormat="1">
      <c r="A58" s="8"/>
      <c r="B58" s="8"/>
      <c r="C58" s="8"/>
      <c r="D58" s="45"/>
      <c r="E58" s="45"/>
      <c r="F58" s="47" t="s">
        <v>8</v>
      </c>
      <c r="G58" s="83">
        <v>33218</v>
      </c>
      <c r="H58" s="83"/>
      <c r="I58" s="83"/>
      <c r="J58" s="75">
        <f t="shared" si="41"/>
        <v>0</v>
      </c>
      <c r="K58" s="114"/>
      <c r="L58" s="35"/>
      <c r="M58" s="80">
        <f t="shared" si="42"/>
        <v>0</v>
      </c>
      <c r="N58" s="35">
        <f t="shared" si="39"/>
        <v>0</v>
      </c>
      <c r="O58" s="70" t="e">
        <f t="shared" si="36"/>
        <v>#DIV/0!</v>
      </c>
      <c r="P58" s="71">
        <f t="shared" si="9"/>
        <v>0</v>
      </c>
      <c r="Q58" s="35">
        <f t="shared" si="10"/>
        <v>0</v>
      </c>
      <c r="R58" s="72">
        <v>1103629</v>
      </c>
      <c r="S58" s="72">
        <f t="shared" si="11"/>
        <v>33218</v>
      </c>
      <c r="T58" s="62"/>
    </row>
    <row r="59" spans="1:20" s="73" customFormat="1">
      <c r="A59" s="8"/>
      <c r="B59" s="8"/>
      <c r="C59" s="8"/>
      <c r="D59" s="45"/>
      <c r="E59" s="45"/>
      <c r="F59" s="49" t="s">
        <v>9</v>
      </c>
      <c r="G59" s="83">
        <v>91657</v>
      </c>
      <c r="H59" s="83"/>
      <c r="I59" s="83"/>
      <c r="J59" s="75">
        <f t="shared" si="41"/>
        <v>0</v>
      </c>
      <c r="K59" s="114"/>
      <c r="L59" s="35"/>
      <c r="M59" s="80">
        <f t="shared" si="42"/>
        <v>0</v>
      </c>
      <c r="N59" s="35">
        <f t="shared" si="39"/>
        <v>0</v>
      </c>
      <c r="O59" s="70" t="e">
        <f t="shared" si="36"/>
        <v>#DIV/0!</v>
      </c>
      <c r="P59" s="71">
        <f t="shared" si="9"/>
        <v>0</v>
      </c>
      <c r="Q59" s="35">
        <f t="shared" si="10"/>
        <v>0</v>
      </c>
      <c r="R59" s="72">
        <v>1103630</v>
      </c>
      <c r="S59" s="72">
        <f t="shared" si="11"/>
        <v>91657</v>
      </c>
      <c r="T59" s="62"/>
    </row>
    <row r="60" spans="1:20" s="73" customFormat="1">
      <c r="A60" s="8"/>
      <c r="B60" s="8"/>
      <c r="C60" s="8"/>
      <c r="D60" s="45"/>
      <c r="E60" s="45"/>
      <c r="F60" s="49" t="s">
        <v>10</v>
      </c>
      <c r="G60" s="83">
        <v>25221</v>
      </c>
      <c r="H60" s="83"/>
      <c r="I60" s="83"/>
      <c r="J60" s="75">
        <f t="shared" si="41"/>
        <v>0</v>
      </c>
      <c r="K60" s="114"/>
      <c r="L60" s="35"/>
      <c r="M60" s="80">
        <f t="shared" si="42"/>
        <v>0</v>
      </c>
      <c r="N60" s="35">
        <f t="shared" si="39"/>
        <v>0</v>
      </c>
      <c r="O60" s="70" t="e">
        <f t="shared" si="36"/>
        <v>#DIV/0!</v>
      </c>
      <c r="P60" s="71">
        <f t="shared" si="9"/>
        <v>0</v>
      </c>
      <c r="Q60" s="35">
        <f t="shared" si="10"/>
        <v>0</v>
      </c>
      <c r="R60" s="72">
        <v>1103631</v>
      </c>
      <c r="S60" s="72">
        <f t="shared" si="11"/>
        <v>25221</v>
      </c>
      <c r="T60" s="62"/>
    </row>
    <row r="61" spans="1:20" s="73" customFormat="1">
      <c r="A61" s="8"/>
      <c r="B61" s="8"/>
      <c r="C61" s="8"/>
      <c r="D61" s="45"/>
      <c r="E61" s="45"/>
      <c r="F61" s="49" t="s">
        <v>47</v>
      </c>
      <c r="G61" s="83">
        <v>55364</v>
      </c>
      <c r="H61" s="83"/>
      <c r="I61" s="83"/>
      <c r="J61" s="75">
        <f t="shared" si="41"/>
        <v>0</v>
      </c>
      <c r="K61" s="114"/>
      <c r="L61" s="35"/>
      <c r="M61" s="80">
        <f t="shared" si="42"/>
        <v>0</v>
      </c>
      <c r="N61" s="35">
        <f t="shared" si="39"/>
        <v>0</v>
      </c>
      <c r="O61" s="70" t="e">
        <f t="shared" si="36"/>
        <v>#DIV/0!</v>
      </c>
      <c r="P61" s="71">
        <f t="shared" si="9"/>
        <v>0</v>
      </c>
      <c r="Q61" s="35">
        <f t="shared" si="10"/>
        <v>0</v>
      </c>
      <c r="R61" s="72">
        <v>1103632</v>
      </c>
      <c r="S61" s="72">
        <f t="shared" si="11"/>
        <v>55364</v>
      </c>
      <c r="T61" s="62"/>
    </row>
    <row r="62" spans="1:20" s="73" customFormat="1">
      <c r="A62" s="8"/>
      <c r="B62" s="8"/>
      <c r="C62" s="8"/>
      <c r="D62" s="45"/>
      <c r="E62" s="45"/>
      <c r="F62" s="49" t="s">
        <v>48</v>
      </c>
      <c r="G62" s="83">
        <v>96579</v>
      </c>
      <c r="H62" s="83"/>
      <c r="I62" s="83"/>
      <c r="J62" s="75">
        <f t="shared" si="41"/>
        <v>0</v>
      </c>
      <c r="K62" s="114"/>
      <c r="L62" s="35"/>
      <c r="M62" s="80">
        <f t="shared" si="42"/>
        <v>0</v>
      </c>
      <c r="N62" s="35">
        <f t="shared" si="39"/>
        <v>0</v>
      </c>
      <c r="O62" s="70" t="e">
        <f t="shared" si="36"/>
        <v>#DIV/0!</v>
      </c>
      <c r="P62" s="71">
        <f t="shared" si="9"/>
        <v>0</v>
      </c>
      <c r="Q62" s="35">
        <f t="shared" si="10"/>
        <v>0</v>
      </c>
      <c r="R62" s="72">
        <v>1103633</v>
      </c>
      <c r="S62" s="72">
        <f t="shared" si="11"/>
        <v>96579</v>
      </c>
      <c r="T62" s="62"/>
    </row>
    <row r="63" spans="1:20" s="73" customFormat="1">
      <c r="A63" s="8"/>
      <c r="B63" s="8"/>
      <c r="C63" s="8"/>
      <c r="D63" s="45"/>
      <c r="E63" s="45"/>
      <c r="F63" s="49" t="s">
        <v>12</v>
      </c>
      <c r="G63" s="83">
        <v>33833</v>
      </c>
      <c r="H63" s="83"/>
      <c r="I63" s="83"/>
      <c r="J63" s="75">
        <f t="shared" si="41"/>
        <v>0</v>
      </c>
      <c r="K63" s="114"/>
      <c r="L63" s="35"/>
      <c r="M63" s="80">
        <f t="shared" si="42"/>
        <v>0</v>
      </c>
      <c r="N63" s="35">
        <f t="shared" si="39"/>
        <v>0</v>
      </c>
      <c r="O63" s="70" t="e">
        <f t="shared" si="36"/>
        <v>#DIV/0!</v>
      </c>
      <c r="P63" s="71">
        <f t="shared" si="9"/>
        <v>0</v>
      </c>
      <c r="Q63" s="35">
        <f t="shared" si="10"/>
        <v>0</v>
      </c>
      <c r="R63" s="72">
        <v>1103634</v>
      </c>
      <c r="S63" s="72">
        <f t="shared" si="11"/>
        <v>33833</v>
      </c>
      <c r="T63" s="62"/>
    </row>
    <row r="64" spans="1:20" s="73" customFormat="1">
      <c r="A64" s="8"/>
      <c r="B64" s="8"/>
      <c r="C64" s="8"/>
      <c r="D64" s="45"/>
      <c r="E64" s="45"/>
      <c r="F64" s="49" t="s">
        <v>11</v>
      </c>
      <c r="G64" s="83">
        <v>45521</v>
      </c>
      <c r="H64" s="83"/>
      <c r="I64" s="83"/>
      <c r="J64" s="75">
        <f t="shared" si="41"/>
        <v>0</v>
      </c>
      <c r="K64" s="114"/>
      <c r="L64" s="35"/>
      <c r="M64" s="80">
        <f t="shared" si="42"/>
        <v>0</v>
      </c>
      <c r="N64" s="35">
        <f t="shared" ref="N64" si="44">I64-M64</f>
        <v>0</v>
      </c>
      <c r="O64" s="70" t="e">
        <f t="shared" si="36"/>
        <v>#DIV/0!</v>
      </c>
      <c r="P64" s="71">
        <f t="shared" si="9"/>
        <v>0</v>
      </c>
      <c r="Q64" s="35">
        <f t="shared" si="10"/>
        <v>0</v>
      </c>
      <c r="R64" s="72">
        <v>1103635</v>
      </c>
      <c r="S64" s="72">
        <f t="shared" si="11"/>
        <v>45521</v>
      </c>
      <c r="T64" s="62"/>
    </row>
    <row r="65" spans="1:20" s="73" customFormat="1" ht="25.5">
      <c r="A65" s="8"/>
      <c r="B65" s="8"/>
      <c r="C65" s="8"/>
      <c r="D65" s="44"/>
      <c r="E65" s="52"/>
      <c r="F65" s="53" t="s">
        <v>112</v>
      </c>
      <c r="G65" s="84">
        <f>SUM(G66:G73)</f>
        <v>111098</v>
      </c>
      <c r="H65" s="84">
        <f t="shared" ref="H65:N65" si="45">SUM(H66:H73)</f>
        <v>0</v>
      </c>
      <c r="I65" s="84">
        <f t="shared" si="45"/>
        <v>0</v>
      </c>
      <c r="J65" s="108">
        <f t="shared" si="45"/>
        <v>0</v>
      </c>
      <c r="K65" s="84">
        <f t="shared" si="45"/>
        <v>0</v>
      </c>
      <c r="L65" s="84">
        <f t="shared" si="45"/>
        <v>0</v>
      </c>
      <c r="M65" s="84">
        <f t="shared" si="45"/>
        <v>0</v>
      </c>
      <c r="N65" s="84">
        <f t="shared" si="45"/>
        <v>0</v>
      </c>
      <c r="O65" s="70" t="e">
        <f t="shared" si="36"/>
        <v>#DIV/0!</v>
      </c>
      <c r="P65" s="71">
        <f t="shared" si="9"/>
        <v>0</v>
      </c>
      <c r="Q65" s="35">
        <f t="shared" si="10"/>
        <v>0</v>
      </c>
      <c r="R65" s="72">
        <v>1103636</v>
      </c>
      <c r="S65" s="72">
        <f t="shared" si="11"/>
        <v>111098</v>
      </c>
      <c r="T65" s="62"/>
    </row>
    <row r="66" spans="1:20" s="73" customFormat="1">
      <c r="A66" s="8"/>
      <c r="B66" s="8"/>
      <c r="C66" s="8"/>
      <c r="D66" s="45"/>
      <c r="E66" s="45"/>
      <c r="F66" s="47" t="s">
        <v>46</v>
      </c>
      <c r="G66" s="83">
        <v>38884</v>
      </c>
      <c r="H66" s="83"/>
      <c r="I66" s="83"/>
      <c r="J66" s="75">
        <f t="shared" si="41"/>
        <v>0</v>
      </c>
      <c r="K66" s="35"/>
      <c r="L66" s="35"/>
      <c r="M66" s="80">
        <f t="shared" si="42"/>
        <v>0</v>
      </c>
      <c r="N66" s="35">
        <f t="shared" ref="N66:N73" si="46">I66-M66</f>
        <v>0</v>
      </c>
      <c r="O66" s="70" t="e">
        <f t="shared" si="36"/>
        <v>#DIV/0!</v>
      </c>
      <c r="P66" s="71">
        <f t="shared" si="9"/>
        <v>0</v>
      </c>
      <c r="Q66" s="35">
        <f t="shared" si="10"/>
        <v>0</v>
      </c>
      <c r="R66" s="72">
        <v>1103637</v>
      </c>
      <c r="S66" s="72">
        <f t="shared" si="11"/>
        <v>38884</v>
      </c>
      <c r="T66" s="62"/>
    </row>
    <row r="67" spans="1:20" s="73" customFormat="1">
      <c r="A67" s="8"/>
      <c r="B67" s="8"/>
      <c r="C67" s="8"/>
      <c r="D67" s="45"/>
      <c r="E67" s="45"/>
      <c r="F67" s="47" t="s">
        <v>8</v>
      </c>
      <c r="G67" s="83">
        <v>7221</v>
      </c>
      <c r="H67" s="83"/>
      <c r="I67" s="83"/>
      <c r="J67" s="75">
        <f t="shared" si="41"/>
        <v>0</v>
      </c>
      <c r="K67" s="35"/>
      <c r="L67" s="35"/>
      <c r="M67" s="80">
        <f t="shared" si="42"/>
        <v>0</v>
      </c>
      <c r="N67" s="35">
        <f t="shared" si="46"/>
        <v>0</v>
      </c>
      <c r="O67" s="70" t="e">
        <f t="shared" si="36"/>
        <v>#DIV/0!</v>
      </c>
      <c r="P67" s="71">
        <f t="shared" si="9"/>
        <v>0</v>
      </c>
      <c r="Q67" s="35">
        <f t="shared" si="10"/>
        <v>0</v>
      </c>
      <c r="R67" s="72">
        <v>1103638</v>
      </c>
      <c r="S67" s="72">
        <f t="shared" si="11"/>
        <v>7221</v>
      </c>
      <c r="T67" s="62"/>
    </row>
    <row r="68" spans="1:20" s="73" customFormat="1">
      <c r="A68" s="8"/>
      <c r="B68" s="8"/>
      <c r="C68" s="8"/>
      <c r="D68" s="45"/>
      <c r="E68" s="45"/>
      <c r="F68" s="49" t="s">
        <v>9</v>
      </c>
      <c r="G68" s="83">
        <v>13554</v>
      </c>
      <c r="H68" s="83"/>
      <c r="I68" s="83"/>
      <c r="J68" s="75">
        <f t="shared" si="41"/>
        <v>0</v>
      </c>
      <c r="K68" s="35"/>
      <c r="L68" s="35"/>
      <c r="M68" s="80">
        <f t="shared" si="42"/>
        <v>0</v>
      </c>
      <c r="N68" s="35">
        <f t="shared" si="46"/>
        <v>0</v>
      </c>
      <c r="O68" s="70" t="e">
        <f t="shared" si="36"/>
        <v>#DIV/0!</v>
      </c>
      <c r="P68" s="71">
        <f t="shared" si="9"/>
        <v>0</v>
      </c>
      <c r="Q68" s="35">
        <f t="shared" si="10"/>
        <v>0</v>
      </c>
      <c r="R68" s="72">
        <v>1103639</v>
      </c>
      <c r="S68" s="72">
        <f t="shared" si="11"/>
        <v>13554</v>
      </c>
      <c r="T68" s="62"/>
    </row>
    <row r="69" spans="1:20" s="73" customFormat="1">
      <c r="A69" s="8"/>
      <c r="B69" s="8"/>
      <c r="C69" s="8"/>
      <c r="D69" s="45"/>
      <c r="E69" s="45"/>
      <c r="F69" s="49" t="s">
        <v>10</v>
      </c>
      <c r="G69" s="83">
        <v>4777</v>
      </c>
      <c r="H69" s="83"/>
      <c r="I69" s="83"/>
      <c r="J69" s="75">
        <f t="shared" si="41"/>
        <v>0</v>
      </c>
      <c r="K69" s="35"/>
      <c r="L69" s="35"/>
      <c r="M69" s="80">
        <f t="shared" si="42"/>
        <v>0</v>
      </c>
      <c r="N69" s="35">
        <f t="shared" si="46"/>
        <v>0</v>
      </c>
      <c r="O69" s="70" t="e">
        <f t="shared" si="36"/>
        <v>#DIV/0!</v>
      </c>
      <c r="P69" s="71">
        <f t="shared" si="9"/>
        <v>0</v>
      </c>
      <c r="Q69" s="35">
        <f t="shared" si="10"/>
        <v>0</v>
      </c>
      <c r="R69" s="72">
        <v>1103640</v>
      </c>
      <c r="S69" s="72">
        <f t="shared" si="11"/>
        <v>4777</v>
      </c>
      <c r="T69" s="62"/>
    </row>
    <row r="70" spans="1:20" s="73" customFormat="1">
      <c r="A70" s="8"/>
      <c r="B70" s="8"/>
      <c r="C70" s="8"/>
      <c r="D70" s="45"/>
      <c r="E70" s="45"/>
      <c r="F70" s="49" t="s">
        <v>47</v>
      </c>
      <c r="G70" s="83">
        <v>10999</v>
      </c>
      <c r="H70" s="83"/>
      <c r="I70" s="83"/>
      <c r="J70" s="75">
        <f t="shared" si="41"/>
        <v>0</v>
      </c>
      <c r="K70" s="35"/>
      <c r="L70" s="35"/>
      <c r="M70" s="80">
        <f t="shared" si="42"/>
        <v>0</v>
      </c>
      <c r="N70" s="35">
        <f t="shared" si="46"/>
        <v>0</v>
      </c>
      <c r="O70" s="70" t="e">
        <f t="shared" si="36"/>
        <v>#DIV/0!</v>
      </c>
      <c r="P70" s="71">
        <f t="shared" si="9"/>
        <v>0</v>
      </c>
      <c r="Q70" s="35">
        <f t="shared" si="10"/>
        <v>0</v>
      </c>
      <c r="R70" s="72">
        <v>1103641</v>
      </c>
      <c r="S70" s="72">
        <f t="shared" si="11"/>
        <v>10999</v>
      </c>
      <c r="T70" s="62"/>
    </row>
    <row r="71" spans="1:20" s="73" customFormat="1">
      <c r="A71" s="8"/>
      <c r="B71" s="8"/>
      <c r="C71" s="8"/>
      <c r="D71" s="45"/>
      <c r="E71" s="45"/>
      <c r="F71" s="49" t="s">
        <v>48</v>
      </c>
      <c r="G71" s="83">
        <v>21109</v>
      </c>
      <c r="H71" s="83"/>
      <c r="I71" s="83"/>
      <c r="J71" s="75">
        <f t="shared" si="41"/>
        <v>0</v>
      </c>
      <c r="K71" s="35"/>
      <c r="L71" s="35"/>
      <c r="M71" s="80">
        <f t="shared" si="42"/>
        <v>0</v>
      </c>
      <c r="N71" s="35">
        <f t="shared" si="46"/>
        <v>0</v>
      </c>
      <c r="O71" s="70" t="e">
        <f t="shared" si="36"/>
        <v>#DIV/0!</v>
      </c>
      <c r="P71" s="71">
        <f t="shared" si="9"/>
        <v>0</v>
      </c>
      <c r="Q71" s="35">
        <f t="shared" si="10"/>
        <v>0</v>
      </c>
      <c r="R71" s="72">
        <v>1103642</v>
      </c>
      <c r="S71" s="72">
        <f t="shared" si="11"/>
        <v>21109</v>
      </c>
      <c r="T71" s="62"/>
    </row>
    <row r="72" spans="1:20" s="73" customFormat="1">
      <c r="A72" s="8"/>
      <c r="B72" s="8"/>
      <c r="C72" s="8"/>
      <c r="D72" s="45"/>
      <c r="E72" s="45"/>
      <c r="F72" s="49" t="s">
        <v>12</v>
      </c>
      <c r="G72" s="83">
        <v>6554</v>
      </c>
      <c r="H72" s="83"/>
      <c r="I72" s="83"/>
      <c r="J72" s="75">
        <f t="shared" si="41"/>
        <v>0</v>
      </c>
      <c r="K72" s="35"/>
      <c r="L72" s="35"/>
      <c r="M72" s="80">
        <f t="shared" si="42"/>
        <v>0</v>
      </c>
      <c r="N72" s="35">
        <f t="shared" si="46"/>
        <v>0</v>
      </c>
      <c r="O72" s="70" t="e">
        <f t="shared" si="36"/>
        <v>#DIV/0!</v>
      </c>
      <c r="P72" s="71">
        <f t="shared" si="9"/>
        <v>0</v>
      </c>
      <c r="Q72" s="35">
        <f t="shared" si="10"/>
        <v>0</v>
      </c>
      <c r="R72" s="72">
        <v>1103643</v>
      </c>
      <c r="S72" s="72">
        <f t="shared" si="11"/>
        <v>6554</v>
      </c>
      <c r="T72" s="62"/>
    </row>
    <row r="73" spans="1:20" s="73" customFormat="1">
      <c r="A73" s="8"/>
      <c r="B73" s="8"/>
      <c r="C73" s="8"/>
      <c r="D73" s="45"/>
      <c r="E73" s="45"/>
      <c r="F73" s="49" t="s">
        <v>11</v>
      </c>
      <c r="G73" s="83">
        <v>8000</v>
      </c>
      <c r="H73" s="83"/>
      <c r="I73" s="83"/>
      <c r="J73" s="75">
        <f t="shared" si="41"/>
        <v>0</v>
      </c>
      <c r="K73" s="35"/>
      <c r="L73" s="35"/>
      <c r="M73" s="80">
        <f t="shared" si="42"/>
        <v>0</v>
      </c>
      <c r="N73" s="35">
        <f t="shared" si="46"/>
        <v>0</v>
      </c>
      <c r="O73" s="70" t="e">
        <f t="shared" si="36"/>
        <v>#DIV/0!</v>
      </c>
      <c r="P73" s="71">
        <f t="shared" si="9"/>
        <v>0</v>
      </c>
      <c r="Q73" s="35">
        <f t="shared" si="10"/>
        <v>0</v>
      </c>
      <c r="R73" s="72">
        <v>1103644</v>
      </c>
      <c r="S73" s="72">
        <f t="shared" si="11"/>
        <v>8000</v>
      </c>
      <c r="T73" s="62"/>
    </row>
    <row r="74" spans="1:20" s="73" customFormat="1">
      <c r="A74" s="8"/>
      <c r="B74" s="8"/>
      <c r="C74" s="8"/>
      <c r="D74" s="45"/>
      <c r="E74" s="45"/>
      <c r="F74" s="51" t="s">
        <v>58</v>
      </c>
      <c r="G74" s="82">
        <f>SUM(G75:G82)</f>
        <v>314536</v>
      </c>
      <c r="H74" s="82">
        <f t="shared" ref="H74:O74" si="47">SUM(H75:H82)</f>
        <v>314536</v>
      </c>
      <c r="I74" s="82">
        <f t="shared" si="47"/>
        <v>125000</v>
      </c>
      <c r="J74" s="108">
        <f t="shared" si="47"/>
        <v>125000</v>
      </c>
      <c r="K74" s="82">
        <f t="shared" si="47"/>
        <v>0</v>
      </c>
      <c r="L74" s="82">
        <f t="shared" si="47"/>
        <v>125000</v>
      </c>
      <c r="M74" s="82">
        <f t="shared" si="47"/>
        <v>125000</v>
      </c>
      <c r="N74" s="82">
        <f t="shared" si="47"/>
        <v>0</v>
      </c>
      <c r="O74" s="82" t="e">
        <f t="shared" si="47"/>
        <v>#DIV/0!</v>
      </c>
      <c r="P74" s="71">
        <f t="shared" ref="P74:P137" si="48">J74-M74</f>
        <v>0</v>
      </c>
      <c r="Q74" s="35">
        <f t="shared" ref="Q74:Q137" si="49">H74-J74</f>
        <v>189536</v>
      </c>
      <c r="R74" s="72">
        <v>1103645</v>
      </c>
      <c r="S74" s="72">
        <f t="shared" ref="S74:S137" si="50">G74-M74</f>
        <v>189536</v>
      </c>
      <c r="T74" s="62"/>
    </row>
    <row r="75" spans="1:20" s="73" customFormat="1">
      <c r="A75" s="8"/>
      <c r="B75" s="8"/>
      <c r="C75" s="8"/>
      <c r="D75" s="45"/>
      <c r="E75" s="45"/>
      <c r="F75" s="47" t="s">
        <v>46</v>
      </c>
      <c r="G75" s="83"/>
      <c r="H75" s="83"/>
      <c r="I75" s="83"/>
      <c r="J75" s="75">
        <f t="shared" ref="J75:J82" si="51">M75</f>
        <v>0</v>
      </c>
      <c r="K75" s="35"/>
      <c r="L75" s="35"/>
      <c r="M75" s="80">
        <f t="shared" ref="M75:M82" si="52">K75+L75</f>
        <v>0</v>
      </c>
      <c r="N75" s="35">
        <f t="shared" ref="N75:N82" si="53">I75-M75</f>
        <v>0</v>
      </c>
      <c r="O75" s="70" t="e">
        <f t="shared" ref="O75:O82" si="54">M75/I75*100</f>
        <v>#DIV/0!</v>
      </c>
      <c r="P75" s="71">
        <f t="shared" si="48"/>
        <v>0</v>
      </c>
      <c r="Q75" s="35">
        <f t="shared" si="49"/>
        <v>0</v>
      </c>
      <c r="R75" s="72">
        <v>1103646</v>
      </c>
      <c r="S75" s="72">
        <f t="shared" si="50"/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8</v>
      </c>
      <c r="G76" s="83"/>
      <c r="H76" s="83"/>
      <c r="I76" s="83"/>
      <c r="J76" s="75">
        <f t="shared" si="51"/>
        <v>0</v>
      </c>
      <c r="K76" s="35"/>
      <c r="L76" s="35"/>
      <c r="M76" s="80">
        <f t="shared" si="52"/>
        <v>0</v>
      </c>
      <c r="N76" s="35">
        <f t="shared" si="53"/>
        <v>0</v>
      </c>
      <c r="O76" s="70" t="e">
        <f t="shared" si="54"/>
        <v>#DIV/0!</v>
      </c>
      <c r="P76" s="71">
        <f t="shared" si="48"/>
        <v>0</v>
      </c>
      <c r="Q76" s="35">
        <f t="shared" si="49"/>
        <v>0</v>
      </c>
      <c r="R76" s="72">
        <v>1103647</v>
      </c>
      <c r="S76" s="72">
        <f t="shared" si="50"/>
        <v>0</v>
      </c>
      <c r="T76" s="62"/>
    </row>
    <row r="77" spans="1:20" s="73" customFormat="1">
      <c r="A77" s="8"/>
      <c r="B77" s="8"/>
      <c r="C77" s="8"/>
      <c r="D77" s="45"/>
      <c r="E77" s="45"/>
      <c r="F77" s="49" t="s">
        <v>9</v>
      </c>
      <c r="G77" s="83"/>
      <c r="H77" s="83"/>
      <c r="I77" s="83"/>
      <c r="J77" s="75">
        <f t="shared" si="51"/>
        <v>0</v>
      </c>
      <c r="K77" s="35"/>
      <c r="L77" s="35"/>
      <c r="M77" s="80">
        <f t="shared" si="52"/>
        <v>0</v>
      </c>
      <c r="N77" s="35">
        <f t="shared" si="53"/>
        <v>0</v>
      </c>
      <c r="O77" s="70" t="e">
        <f t="shared" si="54"/>
        <v>#DIV/0!</v>
      </c>
      <c r="P77" s="71">
        <f t="shared" si="48"/>
        <v>0</v>
      </c>
      <c r="Q77" s="35">
        <f t="shared" si="49"/>
        <v>0</v>
      </c>
      <c r="R77" s="72">
        <v>1103648</v>
      </c>
      <c r="S77" s="72">
        <f t="shared" si="50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10</v>
      </c>
      <c r="G78" s="83"/>
      <c r="H78" s="83"/>
      <c r="I78" s="83"/>
      <c r="J78" s="75">
        <f t="shared" si="51"/>
        <v>0</v>
      </c>
      <c r="K78" s="35"/>
      <c r="L78" s="35"/>
      <c r="M78" s="80">
        <f t="shared" si="52"/>
        <v>0</v>
      </c>
      <c r="N78" s="35">
        <f t="shared" si="53"/>
        <v>0</v>
      </c>
      <c r="O78" s="70" t="e">
        <f t="shared" si="54"/>
        <v>#DIV/0!</v>
      </c>
      <c r="P78" s="71">
        <f t="shared" si="48"/>
        <v>0</v>
      </c>
      <c r="Q78" s="35">
        <f t="shared" si="49"/>
        <v>0</v>
      </c>
      <c r="R78" s="72">
        <v>1103649</v>
      </c>
      <c r="S78" s="72">
        <f t="shared" si="50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47</v>
      </c>
      <c r="G79" s="83"/>
      <c r="H79" s="83"/>
      <c r="I79" s="83"/>
      <c r="J79" s="75">
        <f t="shared" si="51"/>
        <v>0</v>
      </c>
      <c r="K79" s="35"/>
      <c r="L79" s="35"/>
      <c r="M79" s="80">
        <f t="shared" si="52"/>
        <v>0</v>
      </c>
      <c r="N79" s="35">
        <f t="shared" si="53"/>
        <v>0</v>
      </c>
      <c r="O79" s="70" t="e">
        <f t="shared" si="54"/>
        <v>#DIV/0!</v>
      </c>
      <c r="P79" s="71">
        <f t="shared" si="48"/>
        <v>0</v>
      </c>
      <c r="Q79" s="35">
        <f t="shared" si="49"/>
        <v>0</v>
      </c>
      <c r="R79" s="72">
        <v>1103650</v>
      </c>
      <c r="S79" s="72">
        <f t="shared" si="50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48</v>
      </c>
      <c r="G80" s="83"/>
      <c r="H80" s="83"/>
      <c r="I80" s="83"/>
      <c r="J80" s="75">
        <f t="shared" si="51"/>
        <v>0</v>
      </c>
      <c r="K80" s="35"/>
      <c r="L80" s="35"/>
      <c r="M80" s="80">
        <f t="shared" si="52"/>
        <v>0</v>
      </c>
      <c r="N80" s="35">
        <f t="shared" si="53"/>
        <v>0</v>
      </c>
      <c r="O80" s="70" t="e">
        <f t="shared" si="54"/>
        <v>#DIV/0!</v>
      </c>
      <c r="P80" s="71">
        <f t="shared" si="48"/>
        <v>0</v>
      </c>
      <c r="Q80" s="35">
        <f t="shared" si="49"/>
        <v>0</v>
      </c>
      <c r="R80" s="72">
        <v>1103651</v>
      </c>
      <c r="S80" s="72">
        <f t="shared" si="50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12</v>
      </c>
      <c r="G81" s="83">
        <v>314536</v>
      </c>
      <c r="H81" s="83">
        <v>314536</v>
      </c>
      <c r="I81" s="83">
        <v>125000</v>
      </c>
      <c r="J81" s="75">
        <f t="shared" si="51"/>
        <v>125000</v>
      </c>
      <c r="K81" s="35"/>
      <c r="L81" s="35">
        <v>125000</v>
      </c>
      <c r="M81" s="80">
        <f t="shared" si="52"/>
        <v>125000</v>
      </c>
      <c r="N81" s="35">
        <f t="shared" si="53"/>
        <v>0</v>
      </c>
      <c r="O81" s="70">
        <f t="shared" si="54"/>
        <v>100</v>
      </c>
      <c r="P81" s="71">
        <f t="shared" si="48"/>
        <v>0</v>
      </c>
      <c r="Q81" s="35">
        <f t="shared" si="49"/>
        <v>189536</v>
      </c>
      <c r="R81" s="72">
        <v>1103652</v>
      </c>
      <c r="S81" s="72">
        <f t="shared" si="50"/>
        <v>189536</v>
      </c>
      <c r="T81" s="62"/>
    </row>
    <row r="82" spans="1:20" s="73" customFormat="1">
      <c r="A82" s="8"/>
      <c r="B82" s="8"/>
      <c r="C82" s="8"/>
      <c r="D82" s="45"/>
      <c r="E82" s="45"/>
      <c r="F82" s="49" t="s">
        <v>11</v>
      </c>
      <c r="G82" s="83"/>
      <c r="H82" s="83"/>
      <c r="I82" s="83"/>
      <c r="J82" s="75">
        <f t="shared" si="51"/>
        <v>0</v>
      </c>
      <c r="K82" s="35"/>
      <c r="L82" s="35"/>
      <c r="M82" s="80">
        <f t="shared" si="52"/>
        <v>0</v>
      </c>
      <c r="N82" s="35">
        <f t="shared" si="53"/>
        <v>0</v>
      </c>
      <c r="O82" s="70" t="e">
        <f t="shared" si="54"/>
        <v>#DIV/0!</v>
      </c>
      <c r="P82" s="71">
        <f t="shared" si="48"/>
        <v>0</v>
      </c>
      <c r="Q82" s="35">
        <f t="shared" si="49"/>
        <v>0</v>
      </c>
      <c r="R82" s="72">
        <v>1103653</v>
      </c>
      <c r="S82" s="72">
        <f t="shared" si="50"/>
        <v>0</v>
      </c>
      <c r="T82" s="62"/>
    </row>
    <row r="83" spans="1:20" s="73" customFormat="1" ht="38.25">
      <c r="A83" s="8"/>
      <c r="B83" s="8"/>
      <c r="C83" s="8"/>
      <c r="D83" s="45"/>
      <c r="E83" s="45"/>
      <c r="F83" s="51" t="s">
        <v>59</v>
      </c>
      <c r="G83" s="82">
        <f>SUM(G84:G91)</f>
        <v>293942</v>
      </c>
      <c r="H83" s="82">
        <f t="shared" ref="H83:O83" si="55">SUM(H84:H91)</f>
        <v>0</v>
      </c>
      <c r="I83" s="82">
        <f t="shared" si="55"/>
        <v>0</v>
      </c>
      <c r="J83" s="108">
        <f t="shared" si="55"/>
        <v>0</v>
      </c>
      <c r="K83" s="82">
        <f t="shared" si="55"/>
        <v>0</v>
      </c>
      <c r="L83" s="82">
        <f t="shared" si="55"/>
        <v>0</v>
      </c>
      <c r="M83" s="82">
        <f t="shared" si="55"/>
        <v>0</v>
      </c>
      <c r="N83" s="82">
        <f t="shared" si="55"/>
        <v>0</v>
      </c>
      <c r="O83" s="82" t="e">
        <f t="shared" si="55"/>
        <v>#DIV/0!</v>
      </c>
      <c r="P83" s="71">
        <f t="shared" si="48"/>
        <v>0</v>
      </c>
      <c r="Q83" s="35">
        <f t="shared" si="49"/>
        <v>0</v>
      </c>
      <c r="R83" s="72">
        <v>1103654</v>
      </c>
      <c r="S83" s="72">
        <f t="shared" si="50"/>
        <v>293942</v>
      </c>
      <c r="T83" s="62"/>
    </row>
    <row r="84" spans="1:20" s="73" customFormat="1">
      <c r="A84" s="8"/>
      <c r="B84" s="8"/>
      <c r="C84" s="8"/>
      <c r="D84" s="45"/>
      <c r="E84" s="45"/>
      <c r="F84" s="47" t="s">
        <v>46</v>
      </c>
      <c r="G84" s="83">
        <v>188942</v>
      </c>
      <c r="H84" s="83"/>
      <c r="I84" s="83"/>
      <c r="J84" s="75">
        <f t="shared" ref="J84:J91" si="56">M84</f>
        <v>0</v>
      </c>
      <c r="K84" s="35"/>
      <c r="L84" s="35"/>
      <c r="M84" s="80">
        <f t="shared" ref="M84:M91" si="57">K84+L84</f>
        <v>0</v>
      </c>
      <c r="N84" s="35">
        <f t="shared" ref="N84:N91" si="58">I84-M84</f>
        <v>0</v>
      </c>
      <c r="O84" s="70" t="e">
        <f t="shared" ref="O84:O91" si="59">M84/I84*100</f>
        <v>#DIV/0!</v>
      </c>
      <c r="P84" s="71">
        <f t="shared" si="48"/>
        <v>0</v>
      </c>
      <c r="Q84" s="35">
        <f t="shared" si="49"/>
        <v>0</v>
      </c>
      <c r="R84" s="72">
        <v>1103655</v>
      </c>
      <c r="S84" s="72">
        <f t="shared" si="50"/>
        <v>188942</v>
      </c>
      <c r="T84" s="62"/>
    </row>
    <row r="85" spans="1:20" s="73" customFormat="1">
      <c r="A85" s="8"/>
      <c r="B85" s="8"/>
      <c r="C85" s="8"/>
      <c r="D85" s="45"/>
      <c r="E85" s="45"/>
      <c r="F85" s="47" t="s">
        <v>8</v>
      </c>
      <c r="G85" s="83">
        <v>15000</v>
      </c>
      <c r="H85" s="83"/>
      <c r="I85" s="83"/>
      <c r="J85" s="75">
        <f t="shared" si="56"/>
        <v>0</v>
      </c>
      <c r="K85" s="35"/>
      <c r="L85" s="35"/>
      <c r="M85" s="80">
        <f t="shared" si="57"/>
        <v>0</v>
      </c>
      <c r="N85" s="35">
        <f t="shared" si="58"/>
        <v>0</v>
      </c>
      <c r="O85" s="70" t="e">
        <f t="shared" si="59"/>
        <v>#DIV/0!</v>
      </c>
      <c r="P85" s="71">
        <f t="shared" si="48"/>
        <v>0</v>
      </c>
      <c r="Q85" s="35">
        <f t="shared" si="49"/>
        <v>0</v>
      </c>
      <c r="R85" s="72">
        <v>1103656</v>
      </c>
      <c r="S85" s="72">
        <f t="shared" si="50"/>
        <v>15000</v>
      </c>
      <c r="T85" s="62"/>
    </row>
    <row r="86" spans="1:20" s="73" customFormat="1">
      <c r="A86" s="8"/>
      <c r="B86" s="8"/>
      <c r="C86" s="8"/>
      <c r="D86" s="45"/>
      <c r="E86" s="45"/>
      <c r="F86" s="49" t="s">
        <v>9</v>
      </c>
      <c r="G86" s="83">
        <v>15000</v>
      </c>
      <c r="H86" s="83"/>
      <c r="I86" s="83"/>
      <c r="J86" s="75">
        <f t="shared" si="56"/>
        <v>0</v>
      </c>
      <c r="K86" s="35"/>
      <c r="L86" s="35"/>
      <c r="M86" s="80">
        <f t="shared" si="57"/>
        <v>0</v>
      </c>
      <c r="N86" s="35">
        <f t="shared" si="58"/>
        <v>0</v>
      </c>
      <c r="O86" s="70" t="e">
        <f t="shared" si="59"/>
        <v>#DIV/0!</v>
      </c>
      <c r="P86" s="71">
        <f t="shared" si="48"/>
        <v>0</v>
      </c>
      <c r="Q86" s="35">
        <f t="shared" si="49"/>
        <v>0</v>
      </c>
      <c r="R86" s="72">
        <v>1103657</v>
      </c>
      <c r="S86" s="72">
        <f t="shared" si="50"/>
        <v>15000</v>
      </c>
      <c r="T86" s="62"/>
    </row>
    <row r="87" spans="1:20" s="73" customFormat="1">
      <c r="A87" s="8"/>
      <c r="B87" s="8"/>
      <c r="C87" s="8"/>
      <c r="D87" s="45"/>
      <c r="E87" s="45"/>
      <c r="F87" s="49" t="s">
        <v>10</v>
      </c>
      <c r="G87" s="83">
        <v>15000</v>
      </c>
      <c r="H87" s="83"/>
      <c r="I87" s="83"/>
      <c r="J87" s="75">
        <f t="shared" si="56"/>
        <v>0</v>
      </c>
      <c r="K87" s="35"/>
      <c r="L87" s="35"/>
      <c r="M87" s="80">
        <f t="shared" si="57"/>
        <v>0</v>
      </c>
      <c r="N87" s="35">
        <f t="shared" si="58"/>
        <v>0</v>
      </c>
      <c r="O87" s="70" t="e">
        <f t="shared" si="59"/>
        <v>#DIV/0!</v>
      </c>
      <c r="P87" s="71">
        <f t="shared" si="48"/>
        <v>0</v>
      </c>
      <c r="Q87" s="35">
        <f t="shared" si="49"/>
        <v>0</v>
      </c>
      <c r="R87" s="72">
        <v>1103658</v>
      </c>
      <c r="S87" s="72">
        <f t="shared" si="50"/>
        <v>15000</v>
      </c>
      <c r="T87" s="62"/>
    </row>
    <row r="88" spans="1:20" s="73" customFormat="1">
      <c r="A88" s="8"/>
      <c r="B88" s="8"/>
      <c r="C88" s="8"/>
      <c r="D88" s="45"/>
      <c r="E88" s="45"/>
      <c r="F88" s="49" t="s">
        <v>47</v>
      </c>
      <c r="G88" s="83">
        <v>15000</v>
      </c>
      <c r="H88" s="83"/>
      <c r="I88" s="83"/>
      <c r="J88" s="75">
        <f t="shared" si="56"/>
        <v>0</v>
      </c>
      <c r="K88" s="35"/>
      <c r="L88" s="35"/>
      <c r="M88" s="80">
        <f t="shared" si="57"/>
        <v>0</v>
      </c>
      <c r="N88" s="35">
        <f t="shared" si="58"/>
        <v>0</v>
      </c>
      <c r="O88" s="70" t="e">
        <f t="shared" si="59"/>
        <v>#DIV/0!</v>
      </c>
      <c r="P88" s="71">
        <f t="shared" si="48"/>
        <v>0</v>
      </c>
      <c r="Q88" s="35">
        <f t="shared" si="49"/>
        <v>0</v>
      </c>
      <c r="R88" s="72">
        <v>1103659</v>
      </c>
      <c r="S88" s="72">
        <f t="shared" si="50"/>
        <v>15000</v>
      </c>
      <c r="T88" s="62"/>
    </row>
    <row r="89" spans="1:20" s="73" customFormat="1">
      <c r="A89" s="8"/>
      <c r="B89" s="8"/>
      <c r="C89" s="8"/>
      <c r="D89" s="45"/>
      <c r="E89" s="45"/>
      <c r="F89" s="49" t="s">
        <v>48</v>
      </c>
      <c r="G89" s="83">
        <v>15000</v>
      </c>
      <c r="H89" s="83"/>
      <c r="I89" s="83"/>
      <c r="J89" s="75">
        <f t="shared" si="56"/>
        <v>0</v>
      </c>
      <c r="K89" s="35"/>
      <c r="L89" s="35"/>
      <c r="M89" s="80">
        <f t="shared" si="57"/>
        <v>0</v>
      </c>
      <c r="N89" s="35">
        <f t="shared" si="58"/>
        <v>0</v>
      </c>
      <c r="O89" s="70" t="e">
        <f t="shared" si="59"/>
        <v>#DIV/0!</v>
      </c>
      <c r="P89" s="71">
        <f t="shared" si="48"/>
        <v>0</v>
      </c>
      <c r="Q89" s="35">
        <f t="shared" si="49"/>
        <v>0</v>
      </c>
      <c r="R89" s="72">
        <v>1103660</v>
      </c>
      <c r="S89" s="72">
        <f t="shared" si="50"/>
        <v>15000</v>
      </c>
      <c r="T89" s="62"/>
    </row>
    <row r="90" spans="1:20" s="73" customFormat="1">
      <c r="A90" s="8"/>
      <c r="B90" s="8"/>
      <c r="C90" s="8"/>
      <c r="D90" s="45"/>
      <c r="E90" s="45"/>
      <c r="F90" s="49" t="s">
        <v>12</v>
      </c>
      <c r="G90" s="83">
        <v>15000</v>
      </c>
      <c r="H90" s="83"/>
      <c r="I90" s="83"/>
      <c r="J90" s="75">
        <f t="shared" si="56"/>
        <v>0</v>
      </c>
      <c r="K90" s="35"/>
      <c r="L90" s="35"/>
      <c r="M90" s="80">
        <f t="shared" si="57"/>
        <v>0</v>
      </c>
      <c r="N90" s="35">
        <f t="shared" si="58"/>
        <v>0</v>
      </c>
      <c r="O90" s="70" t="e">
        <f t="shared" si="59"/>
        <v>#DIV/0!</v>
      </c>
      <c r="P90" s="71">
        <f t="shared" si="48"/>
        <v>0</v>
      </c>
      <c r="Q90" s="35">
        <f t="shared" si="49"/>
        <v>0</v>
      </c>
      <c r="R90" s="72">
        <v>1103661</v>
      </c>
      <c r="S90" s="72">
        <f t="shared" si="50"/>
        <v>15000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11</v>
      </c>
      <c r="G91" s="83">
        <v>15000</v>
      </c>
      <c r="H91" s="83"/>
      <c r="I91" s="83"/>
      <c r="J91" s="75">
        <f t="shared" si="56"/>
        <v>0</v>
      </c>
      <c r="K91" s="35"/>
      <c r="L91" s="35"/>
      <c r="M91" s="80">
        <f t="shared" si="57"/>
        <v>0</v>
      </c>
      <c r="N91" s="35">
        <f t="shared" si="58"/>
        <v>0</v>
      </c>
      <c r="O91" s="70" t="e">
        <f t="shared" si="59"/>
        <v>#DIV/0!</v>
      </c>
      <c r="P91" s="71">
        <f t="shared" si="48"/>
        <v>0</v>
      </c>
      <c r="Q91" s="35">
        <f t="shared" si="49"/>
        <v>0</v>
      </c>
      <c r="R91" s="72">
        <v>1103662</v>
      </c>
      <c r="S91" s="72">
        <f t="shared" si="50"/>
        <v>15000</v>
      </c>
      <c r="T91" s="62"/>
    </row>
    <row r="92" spans="1:20" s="73" customFormat="1" ht="25.5">
      <c r="A92" s="9"/>
      <c r="B92" s="9"/>
      <c r="C92" s="8" t="s">
        <v>13</v>
      </c>
      <c r="D92" s="69"/>
      <c r="E92" s="69"/>
      <c r="F92" s="120" t="s">
        <v>113</v>
      </c>
      <c r="G92" s="23">
        <f>G93</f>
        <v>200616</v>
      </c>
      <c r="H92" s="23">
        <f t="shared" ref="H92:M92" si="60">H93</f>
        <v>0</v>
      </c>
      <c r="I92" s="23">
        <f t="shared" si="60"/>
        <v>0</v>
      </c>
      <c r="J92" s="109">
        <f t="shared" si="60"/>
        <v>0</v>
      </c>
      <c r="K92" s="85">
        <f t="shared" si="60"/>
        <v>0</v>
      </c>
      <c r="L92" s="85">
        <f t="shared" si="60"/>
        <v>0</v>
      </c>
      <c r="M92" s="104">
        <f t="shared" si="60"/>
        <v>0</v>
      </c>
      <c r="N92" s="85">
        <f>N93</f>
        <v>0</v>
      </c>
      <c r="O92" s="68" t="e">
        <f t="shared" ref="O92:O130" si="61">M92/I92*100</f>
        <v>#DIV/0!</v>
      </c>
      <c r="P92" s="71">
        <f t="shared" si="48"/>
        <v>0</v>
      </c>
      <c r="Q92" s="35">
        <f t="shared" si="49"/>
        <v>0</v>
      </c>
      <c r="R92" s="72">
        <v>1103663</v>
      </c>
      <c r="S92" s="72">
        <f t="shared" si="50"/>
        <v>200616</v>
      </c>
      <c r="T92" s="62">
        <f t="shared" ref="T92:T138" si="62">G92-J92</f>
        <v>200616</v>
      </c>
    </row>
    <row r="93" spans="1:20">
      <c r="A93" s="9"/>
      <c r="B93" s="9"/>
      <c r="C93" s="9"/>
      <c r="D93" s="21" t="s">
        <v>7</v>
      </c>
      <c r="E93" s="69"/>
      <c r="F93" s="122" t="s">
        <v>85</v>
      </c>
      <c r="G93" s="56">
        <f>G94+G95</f>
        <v>200616</v>
      </c>
      <c r="H93" s="56">
        <f t="shared" ref="H93:N93" si="63">H94+H95</f>
        <v>0</v>
      </c>
      <c r="I93" s="56">
        <f t="shared" si="63"/>
        <v>0</v>
      </c>
      <c r="J93" s="56">
        <f t="shared" si="63"/>
        <v>0</v>
      </c>
      <c r="K93" s="56">
        <f t="shared" si="63"/>
        <v>0</v>
      </c>
      <c r="L93" s="56">
        <f t="shared" si="63"/>
        <v>0</v>
      </c>
      <c r="M93" s="56">
        <f t="shared" si="63"/>
        <v>0</v>
      </c>
      <c r="N93" s="56">
        <f t="shared" si="63"/>
        <v>0</v>
      </c>
      <c r="O93" s="70" t="e">
        <f t="shared" si="61"/>
        <v>#DIV/0!</v>
      </c>
      <c r="P93" s="71">
        <f t="shared" si="48"/>
        <v>0</v>
      </c>
      <c r="Q93" s="35">
        <f t="shared" si="49"/>
        <v>0</v>
      </c>
      <c r="R93" s="72">
        <v>1103664</v>
      </c>
      <c r="S93" s="72">
        <f t="shared" si="50"/>
        <v>200616</v>
      </c>
      <c r="T93" s="62">
        <f t="shared" si="62"/>
        <v>200616</v>
      </c>
    </row>
    <row r="94" spans="1:20">
      <c r="A94" s="9"/>
      <c r="B94" s="9"/>
      <c r="C94" s="9"/>
      <c r="D94" s="69"/>
      <c r="E94" s="69">
        <v>159</v>
      </c>
      <c r="F94" s="122" t="s">
        <v>84</v>
      </c>
      <c r="G94" s="26">
        <v>200616</v>
      </c>
      <c r="H94" s="37">
        <v>0</v>
      </c>
      <c r="I94" s="37">
        <v>0</v>
      </c>
      <c r="J94" s="110">
        <f>M94</f>
        <v>0</v>
      </c>
      <c r="K94" s="35"/>
      <c r="L94" s="80"/>
      <c r="M94" s="80">
        <f>K94+L94</f>
        <v>0</v>
      </c>
      <c r="N94" s="80">
        <f>I94-M94</f>
        <v>0</v>
      </c>
      <c r="O94" s="70" t="e">
        <f t="shared" si="61"/>
        <v>#DIV/0!</v>
      </c>
      <c r="P94" s="71">
        <f t="shared" si="48"/>
        <v>0</v>
      </c>
      <c r="Q94" s="35">
        <f t="shared" si="49"/>
        <v>0</v>
      </c>
      <c r="R94" s="72">
        <v>1103665</v>
      </c>
      <c r="S94" s="72">
        <f t="shared" si="50"/>
        <v>200616</v>
      </c>
      <c r="T94" s="62">
        <f t="shared" si="62"/>
        <v>200616</v>
      </c>
    </row>
    <row r="95" spans="1:20">
      <c r="A95" s="9"/>
      <c r="B95" s="9"/>
      <c r="C95" s="9"/>
      <c r="D95" s="69"/>
      <c r="E95" s="69">
        <v>322</v>
      </c>
      <c r="F95" s="78" t="s">
        <v>154</v>
      </c>
      <c r="G95" s="26"/>
      <c r="H95" s="37"/>
      <c r="I95" s="37"/>
      <c r="J95" s="110">
        <f>M95</f>
        <v>0</v>
      </c>
      <c r="K95" s="35"/>
      <c r="L95" s="110"/>
      <c r="M95" s="80">
        <f>K95+L95</f>
        <v>0</v>
      </c>
      <c r="N95" s="80">
        <f>I95-M95</f>
        <v>0</v>
      </c>
      <c r="O95" s="70" t="e">
        <f t="shared" si="61"/>
        <v>#DIV/0!</v>
      </c>
      <c r="P95" s="71">
        <f t="shared" si="48"/>
        <v>0</v>
      </c>
      <c r="Q95" s="35">
        <f t="shared" si="49"/>
        <v>0</v>
      </c>
      <c r="R95" s="72">
        <v>1103666</v>
      </c>
      <c r="S95" s="72">
        <f t="shared" si="50"/>
        <v>0</v>
      </c>
    </row>
    <row r="96" spans="1:20" ht="41.25" customHeight="1">
      <c r="A96" s="9"/>
      <c r="B96" s="9"/>
      <c r="C96" s="17" t="s">
        <v>41</v>
      </c>
      <c r="D96" s="69"/>
      <c r="E96" s="69"/>
      <c r="F96" s="79" t="s">
        <v>128</v>
      </c>
      <c r="G96" s="74">
        <f>G97</f>
        <v>20000</v>
      </c>
      <c r="H96" s="74">
        <f t="shared" ref="H96:O97" si="64">H97</f>
        <v>13390</v>
      </c>
      <c r="I96" s="74">
        <f t="shared" si="64"/>
        <v>0</v>
      </c>
      <c r="J96" s="96">
        <f t="shared" si="64"/>
        <v>0</v>
      </c>
      <c r="K96" s="74">
        <f t="shared" si="64"/>
        <v>0</v>
      </c>
      <c r="L96" s="89">
        <f t="shared" si="64"/>
        <v>0</v>
      </c>
      <c r="M96" s="89">
        <f t="shared" si="64"/>
        <v>0</v>
      </c>
      <c r="N96" s="91">
        <f t="shared" si="64"/>
        <v>0</v>
      </c>
      <c r="O96" s="74" t="e">
        <f t="shared" si="64"/>
        <v>#DIV/0!</v>
      </c>
      <c r="P96" s="71">
        <f t="shared" si="48"/>
        <v>0</v>
      </c>
      <c r="Q96" s="35">
        <f t="shared" si="49"/>
        <v>13390</v>
      </c>
      <c r="R96" s="72">
        <v>1103667</v>
      </c>
      <c r="S96" s="72">
        <f t="shared" si="50"/>
        <v>20000</v>
      </c>
      <c r="T96" s="62">
        <f>G96-J96</f>
        <v>20000</v>
      </c>
    </row>
    <row r="97" spans="1:21" s="73" customFormat="1">
      <c r="A97" s="8"/>
      <c r="B97" s="8"/>
      <c r="C97" s="8"/>
      <c r="D97" s="17" t="s">
        <v>35</v>
      </c>
      <c r="E97" s="21"/>
      <c r="F97" s="79"/>
      <c r="G97" s="88">
        <f>G98</f>
        <v>20000</v>
      </c>
      <c r="H97" s="74">
        <f t="shared" si="64"/>
        <v>13390</v>
      </c>
      <c r="I97" s="74">
        <f t="shared" si="64"/>
        <v>0</v>
      </c>
      <c r="J97" s="96">
        <f t="shared" si="64"/>
        <v>0</v>
      </c>
      <c r="K97" s="89">
        <f t="shared" si="64"/>
        <v>0</v>
      </c>
      <c r="L97" s="89">
        <f t="shared" si="64"/>
        <v>0</v>
      </c>
      <c r="M97" s="89">
        <f t="shared" si="64"/>
        <v>0</v>
      </c>
      <c r="N97" s="89">
        <f t="shared" si="64"/>
        <v>0</v>
      </c>
      <c r="O97" s="68" t="e">
        <f>M97/I97*100</f>
        <v>#DIV/0!</v>
      </c>
      <c r="P97" s="71">
        <f t="shared" si="48"/>
        <v>0</v>
      </c>
      <c r="Q97" s="35">
        <f t="shared" si="49"/>
        <v>13390</v>
      </c>
      <c r="R97" s="72">
        <v>1103668</v>
      </c>
      <c r="S97" s="72">
        <f t="shared" si="50"/>
        <v>20000</v>
      </c>
      <c r="T97" s="62">
        <f>G97-J97</f>
        <v>20000</v>
      </c>
    </row>
    <row r="98" spans="1:21">
      <c r="A98" s="9"/>
      <c r="B98" s="9"/>
      <c r="C98" s="9"/>
      <c r="D98" s="69"/>
      <c r="E98" s="69">
        <v>159</v>
      </c>
      <c r="F98" s="78" t="s">
        <v>155</v>
      </c>
      <c r="G98" s="41">
        <v>20000</v>
      </c>
      <c r="H98" s="72">
        <v>13390</v>
      </c>
      <c r="I98" s="72">
        <v>0</v>
      </c>
      <c r="J98" s="94">
        <f>M98</f>
        <v>0</v>
      </c>
      <c r="K98" s="35"/>
      <c r="L98" s="90"/>
      <c r="M98" s="90">
        <f>K98+L98</f>
        <v>0</v>
      </c>
      <c r="N98" s="90">
        <f>I98-M98</f>
        <v>0</v>
      </c>
      <c r="O98" s="70" t="e">
        <f>M98/I98*100</f>
        <v>#DIV/0!</v>
      </c>
      <c r="P98" s="71">
        <f t="shared" si="48"/>
        <v>0</v>
      </c>
      <c r="Q98" s="35">
        <f t="shared" si="49"/>
        <v>13390</v>
      </c>
      <c r="R98" s="72">
        <v>1103669</v>
      </c>
      <c r="S98" s="72">
        <f t="shared" si="50"/>
        <v>20000</v>
      </c>
      <c r="T98" s="62">
        <f>G98-J98</f>
        <v>20000</v>
      </c>
    </row>
    <row r="99" spans="1:21" s="113" customFormat="1">
      <c r="A99" s="8"/>
      <c r="B99" s="8" t="s">
        <v>24</v>
      </c>
      <c r="C99" s="8"/>
      <c r="D99" s="21"/>
      <c r="E99" s="21"/>
      <c r="F99" s="139" t="s">
        <v>114</v>
      </c>
      <c r="G99" s="59">
        <f t="shared" ref="G99:N100" si="65">G100</f>
        <v>588262</v>
      </c>
      <c r="H99" s="59">
        <f t="shared" si="65"/>
        <v>48339</v>
      </c>
      <c r="I99" s="59">
        <f t="shared" si="65"/>
        <v>48339</v>
      </c>
      <c r="J99" s="29">
        <f t="shared" si="65"/>
        <v>46251.970999999998</v>
      </c>
      <c r="K99" s="29">
        <f t="shared" si="65"/>
        <v>0</v>
      </c>
      <c r="L99" s="29">
        <f t="shared" si="65"/>
        <v>46251.970999999998</v>
      </c>
      <c r="M99" s="29">
        <f t="shared" si="65"/>
        <v>46251.970999999998</v>
      </c>
      <c r="N99" s="29">
        <f t="shared" si="65"/>
        <v>2087.0290000000005</v>
      </c>
      <c r="O99" s="68">
        <f t="shared" si="61"/>
        <v>95.682515153395812</v>
      </c>
      <c r="P99" s="71">
        <f t="shared" si="48"/>
        <v>0</v>
      </c>
      <c r="Q99" s="35">
        <f t="shared" si="49"/>
        <v>2087.0290000000023</v>
      </c>
      <c r="R99" s="72">
        <v>1103670</v>
      </c>
      <c r="S99" s="72">
        <f t="shared" si="50"/>
        <v>542010.02899999998</v>
      </c>
      <c r="T99" s="62">
        <f t="shared" si="62"/>
        <v>542010.02899999998</v>
      </c>
      <c r="U99" s="73"/>
    </row>
    <row r="100" spans="1:21" ht="76.5">
      <c r="A100" s="8"/>
      <c r="B100" s="8"/>
      <c r="C100" s="17" t="s">
        <v>7</v>
      </c>
      <c r="D100" s="17"/>
      <c r="E100" s="21"/>
      <c r="F100" s="139" t="s">
        <v>115</v>
      </c>
      <c r="G100" s="59">
        <f>G101</f>
        <v>588262</v>
      </c>
      <c r="H100" s="59">
        <f t="shared" si="65"/>
        <v>48339</v>
      </c>
      <c r="I100" s="59">
        <f t="shared" si="65"/>
        <v>48339</v>
      </c>
      <c r="J100" s="59">
        <f t="shared" si="65"/>
        <v>46251.970999999998</v>
      </c>
      <c r="K100" s="59">
        <f t="shared" si="65"/>
        <v>0</v>
      </c>
      <c r="L100" s="59">
        <f t="shared" si="65"/>
        <v>46251.970999999998</v>
      </c>
      <c r="M100" s="59">
        <f t="shared" si="65"/>
        <v>46251.970999999998</v>
      </c>
      <c r="N100" s="59">
        <f t="shared" si="65"/>
        <v>2087.0290000000005</v>
      </c>
      <c r="O100" s="68">
        <f t="shared" si="61"/>
        <v>95.682515153395812</v>
      </c>
      <c r="P100" s="71">
        <f t="shared" si="48"/>
        <v>0</v>
      </c>
      <c r="Q100" s="35">
        <f t="shared" si="49"/>
        <v>2087.0290000000023</v>
      </c>
      <c r="R100" s="72">
        <v>1103671</v>
      </c>
      <c r="S100" s="72">
        <f t="shared" si="50"/>
        <v>542010.02899999998</v>
      </c>
      <c r="T100" s="62">
        <f t="shared" si="62"/>
        <v>542010.02899999998</v>
      </c>
    </row>
    <row r="101" spans="1:21">
      <c r="A101" s="8"/>
      <c r="B101" s="8"/>
      <c r="C101" s="17"/>
      <c r="D101" s="17" t="s">
        <v>7</v>
      </c>
      <c r="E101" s="10"/>
      <c r="F101" s="140" t="s">
        <v>85</v>
      </c>
      <c r="G101" s="33">
        <f>SUM(G102:G118)</f>
        <v>588262</v>
      </c>
      <c r="H101" s="33">
        <f t="shared" ref="H101:N101" si="66">SUM(H102:H118)</f>
        <v>48339</v>
      </c>
      <c r="I101" s="33">
        <f t="shared" si="66"/>
        <v>48339</v>
      </c>
      <c r="J101" s="29">
        <f t="shared" si="66"/>
        <v>46251.970999999998</v>
      </c>
      <c r="K101" s="29">
        <f t="shared" si="66"/>
        <v>0</v>
      </c>
      <c r="L101" s="29">
        <f>SUM(L102:L118)</f>
        <v>46251.970999999998</v>
      </c>
      <c r="M101" s="29">
        <f t="shared" si="66"/>
        <v>46251.970999999998</v>
      </c>
      <c r="N101" s="29">
        <f t="shared" si="66"/>
        <v>2087.0290000000005</v>
      </c>
      <c r="O101" s="68">
        <f t="shared" si="61"/>
        <v>95.682515153395812</v>
      </c>
      <c r="P101" s="71">
        <f t="shared" si="48"/>
        <v>0</v>
      </c>
      <c r="Q101" s="35">
        <f t="shared" si="49"/>
        <v>2087.0290000000023</v>
      </c>
      <c r="R101" s="72">
        <v>1103672</v>
      </c>
      <c r="S101" s="72">
        <f t="shared" si="50"/>
        <v>542010.02899999998</v>
      </c>
      <c r="T101" s="62">
        <f t="shared" si="62"/>
        <v>542010.02899999998</v>
      </c>
    </row>
    <row r="102" spans="1:21">
      <c r="A102" s="8"/>
      <c r="B102" s="8"/>
      <c r="C102" s="8"/>
      <c r="D102" s="21"/>
      <c r="E102" s="69">
        <v>111</v>
      </c>
      <c r="F102" s="136" t="s">
        <v>86</v>
      </c>
      <c r="G102" s="26">
        <v>408393</v>
      </c>
      <c r="H102" s="37">
        <v>30000</v>
      </c>
      <c r="I102" s="37">
        <v>30000</v>
      </c>
      <c r="J102" s="75">
        <f>M102</f>
        <v>28001.228999999999</v>
      </c>
      <c r="K102" s="35"/>
      <c r="L102" s="35">
        <v>28001.228999999999</v>
      </c>
      <c r="M102" s="92">
        <f t="shared" ref="M102:M181" si="67">K102+L102</f>
        <v>28001.228999999999</v>
      </c>
      <c r="N102" s="93">
        <f t="shared" ref="N102:N181" si="68">I102-M102</f>
        <v>1998.7710000000006</v>
      </c>
      <c r="O102" s="70">
        <f t="shared" si="61"/>
        <v>93.337429999999998</v>
      </c>
      <c r="P102" s="71">
        <f t="shared" si="48"/>
        <v>0</v>
      </c>
      <c r="Q102" s="35">
        <f t="shared" si="49"/>
        <v>1998.7710000000006</v>
      </c>
      <c r="R102" s="72">
        <v>1103673</v>
      </c>
      <c r="S102" s="72">
        <f t="shared" si="50"/>
        <v>380391.77100000001</v>
      </c>
      <c r="T102" s="62">
        <f t="shared" si="62"/>
        <v>380391.77100000001</v>
      </c>
    </row>
    <row r="103" spans="1:21">
      <c r="A103" s="8"/>
      <c r="B103" s="8"/>
      <c r="C103" s="8"/>
      <c r="D103" s="21"/>
      <c r="E103" s="69">
        <v>112</v>
      </c>
      <c r="F103" s="136" t="s">
        <v>87</v>
      </c>
      <c r="G103" s="26"/>
      <c r="H103" s="37"/>
      <c r="I103" s="37"/>
      <c r="J103" s="75">
        <f t="shared" ref="J103:J113" si="69">M103</f>
        <v>0</v>
      </c>
      <c r="K103" s="35"/>
      <c r="L103" s="35"/>
      <c r="M103" s="92">
        <f t="shared" si="67"/>
        <v>0</v>
      </c>
      <c r="N103" s="93">
        <f t="shared" si="68"/>
        <v>0</v>
      </c>
      <c r="O103" s="70" t="e">
        <f t="shared" si="61"/>
        <v>#DIV/0!</v>
      </c>
      <c r="P103" s="71">
        <f t="shared" si="48"/>
        <v>0</v>
      </c>
      <c r="Q103" s="35">
        <f t="shared" si="49"/>
        <v>0</v>
      </c>
      <c r="R103" s="72">
        <v>1103674</v>
      </c>
      <c r="S103" s="72">
        <f t="shared" si="50"/>
        <v>0</v>
      </c>
    </row>
    <row r="104" spans="1:21">
      <c r="A104" s="8"/>
      <c r="B104" s="8"/>
      <c r="C104" s="8"/>
      <c r="D104" s="21"/>
      <c r="E104" s="76">
        <v>113</v>
      </c>
      <c r="F104" s="136" t="s">
        <v>88</v>
      </c>
      <c r="G104" s="26">
        <v>14739</v>
      </c>
      <c r="H104" s="37">
        <v>1519</v>
      </c>
      <c r="I104" s="37">
        <v>1519</v>
      </c>
      <c r="J104" s="75">
        <f t="shared" si="69"/>
        <v>1519</v>
      </c>
      <c r="K104" s="35"/>
      <c r="L104" s="35">
        <v>1519</v>
      </c>
      <c r="M104" s="92">
        <f t="shared" si="67"/>
        <v>1519</v>
      </c>
      <c r="N104" s="93">
        <f t="shared" si="68"/>
        <v>0</v>
      </c>
      <c r="O104" s="70">
        <f t="shared" si="61"/>
        <v>100</v>
      </c>
      <c r="P104" s="71">
        <f t="shared" si="48"/>
        <v>0</v>
      </c>
      <c r="Q104" s="35">
        <f t="shared" si="49"/>
        <v>0</v>
      </c>
      <c r="R104" s="72">
        <v>1103675</v>
      </c>
      <c r="S104" s="72">
        <f t="shared" si="50"/>
        <v>13220</v>
      </c>
      <c r="T104" s="62">
        <f t="shared" si="62"/>
        <v>13220</v>
      </c>
    </row>
    <row r="105" spans="1:21">
      <c r="A105" s="8"/>
      <c r="B105" s="8"/>
      <c r="C105" s="8"/>
      <c r="D105" s="21"/>
      <c r="E105" s="69">
        <v>116</v>
      </c>
      <c r="F105" s="136" t="s">
        <v>89</v>
      </c>
      <c r="G105" s="26">
        <v>9468</v>
      </c>
      <c r="H105" s="37"/>
      <c r="I105" s="37"/>
      <c r="J105" s="75">
        <f t="shared" si="69"/>
        <v>0</v>
      </c>
      <c r="K105" s="35"/>
      <c r="L105" s="35"/>
      <c r="M105" s="92">
        <f>K105+L105</f>
        <v>0</v>
      </c>
      <c r="N105" s="93">
        <f>I105-M105</f>
        <v>0</v>
      </c>
      <c r="O105" s="70" t="e">
        <f>M105/I105*100</f>
        <v>#DIV/0!</v>
      </c>
      <c r="P105" s="71">
        <f t="shared" si="48"/>
        <v>0</v>
      </c>
      <c r="Q105" s="35">
        <f t="shared" si="49"/>
        <v>0</v>
      </c>
      <c r="R105" s="72">
        <v>1103676</v>
      </c>
      <c r="S105" s="72">
        <f t="shared" si="50"/>
        <v>9468</v>
      </c>
    </row>
    <row r="106" spans="1:21">
      <c r="A106" s="8"/>
      <c r="B106" s="8"/>
      <c r="C106" s="8"/>
      <c r="D106" s="21"/>
      <c r="E106" s="69">
        <v>121</v>
      </c>
      <c r="F106" s="136" t="s">
        <v>90</v>
      </c>
      <c r="G106" s="26">
        <v>19586</v>
      </c>
      <c r="H106" s="37">
        <v>1400</v>
      </c>
      <c r="I106" s="37">
        <v>1400</v>
      </c>
      <c r="J106" s="75">
        <f t="shared" si="69"/>
        <v>1400</v>
      </c>
      <c r="K106" s="35"/>
      <c r="L106" s="35">
        <v>1400</v>
      </c>
      <c r="M106" s="92">
        <f t="shared" si="67"/>
        <v>1400</v>
      </c>
      <c r="N106" s="93">
        <f t="shared" si="68"/>
        <v>0</v>
      </c>
      <c r="O106" s="70">
        <f t="shared" si="61"/>
        <v>100</v>
      </c>
      <c r="P106" s="71">
        <f t="shared" si="48"/>
        <v>0</v>
      </c>
      <c r="Q106" s="35">
        <f t="shared" si="49"/>
        <v>0</v>
      </c>
      <c r="R106" s="72">
        <v>1103677</v>
      </c>
      <c r="S106" s="72">
        <f t="shared" si="50"/>
        <v>18186</v>
      </c>
      <c r="T106" s="62">
        <f t="shared" si="62"/>
        <v>18186</v>
      </c>
    </row>
    <row r="107" spans="1:21" ht="25.5">
      <c r="A107" s="8"/>
      <c r="B107" s="8"/>
      <c r="C107" s="8"/>
      <c r="D107" s="21"/>
      <c r="E107" s="69">
        <v>122</v>
      </c>
      <c r="F107" s="136" t="s">
        <v>91</v>
      </c>
      <c r="G107" s="26">
        <v>17015</v>
      </c>
      <c r="H107" s="37">
        <v>1220</v>
      </c>
      <c r="I107" s="37">
        <v>1220</v>
      </c>
      <c r="J107" s="75">
        <f t="shared" si="69"/>
        <v>1191.3900000000001</v>
      </c>
      <c r="K107" s="35"/>
      <c r="L107" s="35">
        <v>1191.3900000000001</v>
      </c>
      <c r="M107" s="92">
        <f>K107+L107</f>
        <v>1191.3900000000001</v>
      </c>
      <c r="N107" s="93">
        <f t="shared" si="68"/>
        <v>28.6099999999999</v>
      </c>
      <c r="O107" s="70">
        <f t="shared" si="61"/>
        <v>97.654918032786895</v>
      </c>
      <c r="P107" s="71">
        <f t="shared" si="48"/>
        <v>0</v>
      </c>
      <c r="Q107" s="35">
        <f t="shared" si="49"/>
        <v>28.6099999999999</v>
      </c>
      <c r="R107" s="72">
        <v>1103678</v>
      </c>
      <c r="S107" s="72">
        <f t="shared" si="50"/>
        <v>15823.61</v>
      </c>
      <c r="T107" s="62">
        <f t="shared" si="62"/>
        <v>15823.61</v>
      </c>
    </row>
    <row r="108" spans="1:21">
      <c r="A108" s="8"/>
      <c r="B108" s="8"/>
      <c r="C108" s="8"/>
      <c r="D108" s="21"/>
      <c r="E108" s="69">
        <v>123</v>
      </c>
      <c r="F108" s="136" t="s">
        <v>92</v>
      </c>
      <c r="G108" s="26">
        <v>195</v>
      </c>
      <c r="H108" s="37"/>
      <c r="I108" s="37"/>
      <c r="J108" s="75">
        <f t="shared" si="69"/>
        <v>0</v>
      </c>
      <c r="K108" s="35"/>
      <c r="L108" s="35"/>
      <c r="M108" s="92">
        <f t="shared" si="67"/>
        <v>0</v>
      </c>
      <c r="N108" s="93">
        <f t="shared" si="68"/>
        <v>0</v>
      </c>
      <c r="O108" s="70" t="e">
        <f t="shared" si="61"/>
        <v>#DIV/0!</v>
      </c>
      <c r="P108" s="71">
        <f t="shared" si="48"/>
        <v>0</v>
      </c>
      <c r="Q108" s="35">
        <f t="shared" si="49"/>
        <v>0</v>
      </c>
      <c r="R108" s="72">
        <v>1103679</v>
      </c>
      <c r="S108" s="72">
        <f t="shared" si="50"/>
        <v>195</v>
      </c>
      <c r="T108" s="62">
        <f t="shared" si="62"/>
        <v>195</v>
      </c>
    </row>
    <row r="109" spans="1:21">
      <c r="A109" s="9"/>
      <c r="B109" s="8"/>
      <c r="C109" s="8"/>
      <c r="D109" s="21"/>
      <c r="E109" s="69">
        <v>124</v>
      </c>
      <c r="F109" s="136" t="s">
        <v>93</v>
      </c>
      <c r="G109" s="26">
        <v>11343</v>
      </c>
      <c r="H109" s="37">
        <v>800</v>
      </c>
      <c r="I109" s="37">
        <v>800</v>
      </c>
      <c r="J109" s="75">
        <f t="shared" si="69"/>
        <v>740.35199999999998</v>
      </c>
      <c r="K109" s="35"/>
      <c r="L109" s="35">
        <v>740.35199999999998</v>
      </c>
      <c r="M109" s="92">
        <f t="shared" si="67"/>
        <v>740.35199999999998</v>
      </c>
      <c r="N109" s="93">
        <f t="shared" si="68"/>
        <v>59.648000000000025</v>
      </c>
      <c r="O109" s="70">
        <f t="shared" si="61"/>
        <v>92.543999999999997</v>
      </c>
      <c r="P109" s="71">
        <f t="shared" si="48"/>
        <v>0</v>
      </c>
      <c r="Q109" s="35">
        <f t="shared" si="49"/>
        <v>59.648000000000025</v>
      </c>
      <c r="R109" s="72">
        <v>1103680</v>
      </c>
      <c r="S109" s="72">
        <f t="shared" si="50"/>
        <v>10602.647999999999</v>
      </c>
      <c r="T109" s="62">
        <f t="shared" si="62"/>
        <v>10602.647999999999</v>
      </c>
    </row>
    <row r="110" spans="1:21" s="73" customFormat="1">
      <c r="A110" s="9"/>
      <c r="B110" s="8"/>
      <c r="C110" s="8"/>
      <c r="D110" s="21"/>
      <c r="E110" s="69">
        <v>141</v>
      </c>
      <c r="F110" s="136" t="s">
        <v>116</v>
      </c>
      <c r="G110" s="26">
        <v>44952</v>
      </c>
      <c r="H110" s="37"/>
      <c r="I110" s="37"/>
      <c r="J110" s="75">
        <f t="shared" si="69"/>
        <v>0</v>
      </c>
      <c r="K110" s="35"/>
      <c r="L110" s="35"/>
      <c r="M110" s="92">
        <f t="shared" si="67"/>
        <v>0</v>
      </c>
      <c r="N110" s="93">
        <f t="shared" si="68"/>
        <v>0</v>
      </c>
      <c r="O110" s="70" t="e">
        <f t="shared" si="61"/>
        <v>#DIV/0!</v>
      </c>
      <c r="P110" s="71">
        <f t="shared" si="48"/>
        <v>0</v>
      </c>
      <c r="Q110" s="35">
        <f t="shared" si="49"/>
        <v>0</v>
      </c>
      <c r="R110" s="72">
        <v>1103681</v>
      </c>
      <c r="S110" s="72">
        <f t="shared" si="50"/>
        <v>44952</v>
      </c>
      <c r="T110" s="62">
        <f t="shared" si="62"/>
        <v>44952</v>
      </c>
    </row>
    <row r="111" spans="1:21">
      <c r="A111" s="9"/>
      <c r="B111" s="8"/>
      <c r="C111" s="8"/>
      <c r="D111" s="21"/>
      <c r="E111" s="69">
        <v>144</v>
      </c>
      <c r="F111" s="136" t="s">
        <v>97</v>
      </c>
      <c r="G111" s="26">
        <v>836</v>
      </c>
      <c r="H111" s="37"/>
      <c r="I111" s="37"/>
      <c r="J111" s="75">
        <f t="shared" si="69"/>
        <v>0</v>
      </c>
      <c r="K111" s="35"/>
      <c r="L111" s="35"/>
      <c r="M111" s="92">
        <f t="shared" si="67"/>
        <v>0</v>
      </c>
      <c r="N111" s="93">
        <f t="shared" si="68"/>
        <v>0</v>
      </c>
      <c r="O111" s="70" t="e">
        <f t="shared" si="61"/>
        <v>#DIV/0!</v>
      </c>
      <c r="P111" s="71">
        <f t="shared" si="48"/>
        <v>0</v>
      </c>
      <c r="Q111" s="35">
        <f t="shared" si="49"/>
        <v>0</v>
      </c>
      <c r="R111" s="72">
        <v>1103682</v>
      </c>
      <c r="S111" s="72">
        <f t="shared" si="50"/>
        <v>836</v>
      </c>
      <c r="T111" s="62">
        <f t="shared" si="62"/>
        <v>836</v>
      </c>
    </row>
    <row r="112" spans="1:21">
      <c r="A112" s="9"/>
      <c r="B112" s="8"/>
      <c r="C112" s="8"/>
      <c r="D112" s="21"/>
      <c r="E112" s="69">
        <v>149</v>
      </c>
      <c r="F112" s="136" t="s">
        <v>98</v>
      </c>
      <c r="G112" s="26">
        <v>5652</v>
      </c>
      <c r="H112" s="37"/>
      <c r="I112" s="37"/>
      <c r="J112" s="75">
        <f t="shared" si="69"/>
        <v>0</v>
      </c>
      <c r="K112" s="35"/>
      <c r="L112" s="35"/>
      <c r="M112" s="92">
        <f t="shared" si="67"/>
        <v>0</v>
      </c>
      <c r="N112" s="93">
        <f t="shared" si="68"/>
        <v>0</v>
      </c>
      <c r="O112" s="70" t="e">
        <f t="shared" si="61"/>
        <v>#DIV/0!</v>
      </c>
      <c r="P112" s="71">
        <f t="shared" si="48"/>
        <v>0</v>
      </c>
      <c r="Q112" s="35">
        <f t="shared" si="49"/>
        <v>0</v>
      </c>
      <c r="R112" s="72">
        <v>1103683</v>
      </c>
      <c r="S112" s="72">
        <f t="shared" si="50"/>
        <v>5652</v>
      </c>
      <c r="T112" s="62">
        <f t="shared" si="62"/>
        <v>5652</v>
      </c>
    </row>
    <row r="113" spans="1:21">
      <c r="A113" s="9"/>
      <c r="B113" s="8"/>
      <c r="C113" s="8"/>
      <c r="D113" s="21"/>
      <c r="E113" s="69">
        <v>151</v>
      </c>
      <c r="F113" s="136" t="s">
        <v>99</v>
      </c>
      <c r="G113" s="26">
        <v>43006</v>
      </c>
      <c r="H113" s="37">
        <v>13400</v>
      </c>
      <c r="I113" s="37">
        <v>13400</v>
      </c>
      <c r="J113" s="75">
        <f t="shared" si="69"/>
        <v>13400</v>
      </c>
      <c r="K113" s="35"/>
      <c r="L113" s="35">
        <v>13400</v>
      </c>
      <c r="M113" s="92">
        <f t="shared" si="67"/>
        <v>13400</v>
      </c>
      <c r="N113" s="93">
        <f t="shared" si="68"/>
        <v>0</v>
      </c>
      <c r="O113" s="70">
        <f t="shared" si="61"/>
        <v>100</v>
      </c>
      <c r="P113" s="71">
        <f t="shared" si="48"/>
        <v>0</v>
      </c>
      <c r="Q113" s="35">
        <f t="shared" si="49"/>
        <v>0</v>
      </c>
      <c r="R113" s="72">
        <v>1103684</v>
      </c>
      <c r="S113" s="72">
        <f t="shared" si="50"/>
        <v>29606</v>
      </c>
      <c r="T113" s="62">
        <f t="shared" si="62"/>
        <v>29606</v>
      </c>
    </row>
    <row r="114" spans="1:21">
      <c r="A114" s="9"/>
      <c r="B114" s="9"/>
      <c r="C114" s="9"/>
      <c r="D114" s="69"/>
      <c r="E114" s="69">
        <v>152</v>
      </c>
      <c r="F114" s="136" t="s">
        <v>100</v>
      </c>
      <c r="G114" s="26">
        <v>2907</v>
      </c>
      <c r="H114" s="37"/>
      <c r="I114" s="37"/>
      <c r="J114" s="75">
        <f t="shared" ref="J114:J118" si="70">M114</f>
        <v>0</v>
      </c>
      <c r="K114" s="35"/>
      <c r="L114" s="35"/>
      <c r="M114" s="92">
        <f t="shared" si="67"/>
        <v>0</v>
      </c>
      <c r="N114" s="93">
        <f t="shared" si="68"/>
        <v>0</v>
      </c>
      <c r="O114" s="70" t="e">
        <f t="shared" si="61"/>
        <v>#DIV/0!</v>
      </c>
      <c r="P114" s="71">
        <f t="shared" si="48"/>
        <v>0</v>
      </c>
      <c r="Q114" s="35">
        <f t="shared" si="49"/>
        <v>0</v>
      </c>
      <c r="R114" s="72">
        <v>1103685</v>
      </c>
      <c r="S114" s="72">
        <f t="shared" si="50"/>
        <v>2907</v>
      </c>
      <c r="T114" s="62">
        <f t="shared" si="62"/>
        <v>2907</v>
      </c>
    </row>
    <row r="115" spans="1:21" ht="25.5">
      <c r="A115" s="9"/>
      <c r="B115" s="9"/>
      <c r="C115" s="9"/>
      <c r="D115" s="69"/>
      <c r="E115" s="69">
        <v>158</v>
      </c>
      <c r="F115" s="136" t="s">
        <v>101</v>
      </c>
      <c r="G115" s="26">
        <v>730</v>
      </c>
      <c r="H115" s="37"/>
      <c r="I115" s="37"/>
      <c r="J115" s="75">
        <f t="shared" si="70"/>
        <v>0</v>
      </c>
      <c r="K115" s="35"/>
      <c r="L115" s="35"/>
      <c r="M115" s="92">
        <f t="shared" si="67"/>
        <v>0</v>
      </c>
      <c r="N115" s="93">
        <f t="shared" si="68"/>
        <v>0</v>
      </c>
      <c r="O115" s="70" t="e">
        <f t="shared" si="61"/>
        <v>#DIV/0!</v>
      </c>
      <c r="P115" s="71">
        <f t="shared" si="48"/>
        <v>0</v>
      </c>
      <c r="Q115" s="35">
        <f t="shared" si="49"/>
        <v>0</v>
      </c>
      <c r="R115" s="72">
        <v>1103686</v>
      </c>
      <c r="S115" s="72">
        <f t="shared" si="50"/>
        <v>730</v>
      </c>
      <c r="T115" s="62">
        <f t="shared" si="62"/>
        <v>730</v>
      </c>
    </row>
    <row r="116" spans="1:21">
      <c r="A116" s="9"/>
      <c r="B116" s="8"/>
      <c r="C116" s="8"/>
      <c r="D116" s="69"/>
      <c r="E116" s="69">
        <v>159</v>
      </c>
      <c r="F116" s="136" t="s">
        <v>84</v>
      </c>
      <c r="G116" s="26">
        <v>7990</v>
      </c>
      <c r="H116" s="37"/>
      <c r="I116" s="37"/>
      <c r="J116" s="75">
        <f t="shared" si="70"/>
        <v>0</v>
      </c>
      <c r="K116" s="35"/>
      <c r="L116" s="35"/>
      <c r="M116" s="92">
        <f t="shared" si="67"/>
        <v>0</v>
      </c>
      <c r="N116" s="93">
        <f t="shared" si="68"/>
        <v>0</v>
      </c>
      <c r="O116" s="70" t="e">
        <f t="shared" si="61"/>
        <v>#DIV/0!</v>
      </c>
      <c r="P116" s="71">
        <f t="shared" si="48"/>
        <v>0</v>
      </c>
      <c r="Q116" s="35">
        <f t="shared" si="49"/>
        <v>0</v>
      </c>
      <c r="R116" s="72">
        <v>1103687</v>
      </c>
      <c r="S116" s="72">
        <f t="shared" si="50"/>
        <v>7990</v>
      </c>
      <c r="T116" s="62">
        <f t="shared" si="62"/>
        <v>7990</v>
      </c>
    </row>
    <row r="117" spans="1:21">
      <c r="A117" s="9"/>
      <c r="B117" s="8"/>
      <c r="C117" s="8"/>
      <c r="D117" s="69"/>
      <c r="E117" s="76">
        <v>161</v>
      </c>
      <c r="F117" s="136" t="s">
        <v>102</v>
      </c>
      <c r="G117" s="26">
        <v>1250</v>
      </c>
      <c r="H117" s="37"/>
      <c r="I117" s="37"/>
      <c r="J117" s="75">
        <f t="shared" si="70"/>
        <v>0</v>
      </c>
      <c r="K117" s="35"/>
      <c r="L117" s="35"/>
      <c r="M117" s="92">
        <f t="shared" si="67"/>
        <v>0</v>
      </c>
      <c r="N117" s="93">
        <f t="shared" si="68"/>
        <v>0</v>
      </c>
      <c r="O117" s="70" t="e">
        <f t="shared" si="61"/>
        <v>#DIV/0!</v>
      </c>
      <c r="P117" s="71">
        <f t="shared" si="48"/>
        <v>0</v>
      </c>
      <c r="Q117" s="35">
        <f t="shared" si="49"/>
        <v>0</v>
      </c>
      <c r="R117" s="72">
        <v>1103688</v>
      </c>
      <c r="S117" s="72">
        <f t="shared" si="50"/>
        <v>1250</v>
      </c>
      <c r="T117" s="62">
        <f t="shared" si="62"/>
        <v>1250</v>
      </c>
    </row>
    <row r="118" spans="1:21">
      <c r="A118" s="9"/>
      <c r="B118" s="8"/>
      <c r="C118" s="8"/>
      <c r="D118" s="69"/>
      <c r="E118" s="69">
        <v>169</v>
      </c>
      <c r="F118" s="136" t="s">
        <v>103</v>
      </c>
      <c r="G118" s="26">
        <v>200</v>
      </c>
      <c r="H118" s="37"/>
      <c r="I118" s="37"/>
      <c r="J118" s="75">
        <f t="shared" si="70"/>
        <v>0</v>
      </c>
      <c r="K118" s="35"/>
      <c r="L118" s="35"/>
      <c r="M118" s="92">
        <f t="shared" si="67"/>
        <v>0</v>
      </c>
      <c r="N118" s="93">
        <f t="shared" si="68"/>
        <v>0</v>
      </c>
      <c r="O118" s="70" t="e">
        <f t="shared" si="61"/>
        <v>#DIV/0!</v>
      </c>
      <c r="P118" s="71">
        <f t="shared" si="48"/>
        <v>0</v>
      </c>
      <c r="Q118" s="35">
        <f t="shared" si="49"/>
        <v>0</v>
      </c>
      <c r="R118" s="72">
        <v>1103689</v>
      </c>
      <c r="S118" s="72">
        <f t="shared" si="50"/>
        <v>200</v>
      </c>
      <c r="T118" s="62">
        <f t="shared" si="62"/>
        <v>200</v>
      </c>
    </row>
    <row r="119" spans="1:21" s="113" customFormat="1">
      <c r="A119" s="8"/>
      <c r="B119" s="17">
        <v>1263</v>
      </c>
      <c r="C119" s="12"/>
      <c r="D119" s="11"/>
      <c r="E119" s="18"/>
      <c r="F119" s="139" t="s">
        <v>117</v>
      </c>
      <c r="G119" s="42">
        <f t="shared" ref="G119:N119" si="71">G120+G139</f>
        <v>557301</v>
      </c>
      <c r="H119" s="42">
        <f t="shared" si="71"/>
        <v>10084</v>
      </c>
      <c r="I119" s="42">
        <f t="shared" si="71"/>
        <v>10084</v>
      </c>
      <c r="J119" s="29">
        <f t="shared" si="71"/>
        <v>10083.11916</v>
      </c>
      <c r="K119" s="29">
        <f t="shared" si="71"/>
        <v>0</v>
      </c>
      <c r="L119" s="29">
        <f t="shared" si="71"/>
        <v>10083.11916</v>
      </c>
      <c r="M119" s="29">
        <f t="shared" si="71"/>
        <v>10083.11916</v>
      </c>
      <c r="N119" s="29">
        <f t="shared" si="71"/>
        <v>0.88083999999983575</v>
      </c>
      <c r="O119" s="68">
        <f t="shared" si="61"/>
        <v>99.991264974216591</v>
      </c>
      <c r="P119" s="71">
        <f t="shared" si="48"/>
        <v>0</v>
      </c>
      <c r="Q119" s="35">
        <f t="shared" si="49"/>
        <v>0.88083999999980733</v>
      </c>
      <c r="R119" s="72">
        <v>1103690</v>
      </c>
      <c r="S119" s="72">
        <f t="shared" si="50"/>
        <v>547217.88084</v>
      </c>
      <c r="T119" s="62">
        <f t="shared" si="62"/>
        <v>547217.88084</v>
      </c>
      <c r="U119" s="73"/>
    </row>
    <row r="120" spans="1:21" s="73" customFormat="1" ht="63.75">
      <c r="A120" s="8"/>
      <c r="B120" s="12"/>
      <c r="C120" s="12" t="s">
        <v>25</v>
      </c>
      <c r="D120" s="11"/>
      <c r="E120" s="18"/>
      <c r="F120" s="139" t="s">
        <v>118</v>
      </c>
      <c r="G120" s="42">
        <f>G121</f>
        <v>557301</v>
      </c>
      <c r="H120" s="42">
        <f t="shared" ref="H120:N120" si="72">H121</f>
        <v>10084</v>
      </c>
      <c r="I120" s="42">
        <f t="shared" si="72"/>
        <v>10084</v>
      </c>
      <c r="J120" s="42">
        <f t="shared" si="72"/>
        <v>10083.11916</v>
      </c>
      <c r="K120" s="42">
        <f t="shared" si="72"/>
        <v>0</v>
      </c>
      <c r="L120" s="42">
        <f t="shared" si="72"/>
        <v>10083.11916</v>
      </c>
      <c r="M120" s="42">
        <f t="shared" si="72"/>
        <v>10083.11916</v>
      </c>
      <c r="N120" s="42">
        <f t="shared" si="72"/>
        <v>0.88083999999983575</v>
      </c>
      <c r="O120" s="68">
        <f t="shared" si="61"/>
        <v>99.991264974216591</v>
      </c>
      <c r="P120" s="71">
        <f t="shared" si="48"/>
        <v>0</v>
      </c>
      <c r="Q120" s="35">
        <f t="shared" si="49"/>
        <v>0.88083999999980733</v>
      </c>
      <c r="R120" s="72">
        <v>1103691</v>
      </c>
      <c r="S120" s="72">
        <f t="shared" si="50"/>
        <v>547217.88084</v>
      </c>
      <c r="T120" s="62">
        <f t="shared" si="62"/>
        <v>547217.88084</v>
      </c>
    </row>
    <row r="121" spans="1:21" s="73" customFormat="1">
      <c r="A121" s="8"/>
      <c r="B121" s="12"/>
      <c r="C121" s="12"/>
      <c r="D121" s="11" t="s">
        <v>7</v>
      </c>
      <c r="E121" s="19"/>
      <c r="F121" s="140" t="s">
        <v>85</v>
      </c>
      <c r="G121" s="30">
        <f>SUM(G122:G138)</f>
        <v>557301</v>
      </c>
      <c r="H121" s="30">
        <f t="shared" ref="H121:N121" si="73">SUM(H122:H138)</f>
        <v>10084</v>
      </c>
      <c r="I121" s="30">
        <f t="shared" si="73"/>
        <v>10084</v>
      </c>
      <c r="J121" s="32">
        <f>SUM(J122:J138)</f>
        <v>10083.11916</v>
      </c>
      <c r="K121" s="31">
        <f t="shared" si="73"/>
        <v>0</v>
      </c>
      <c r="L121" s="32">
        <f>SUM(L122:L138)</f>
        <v>10083.11916</v>
      </c>
      <c r="M121" s="32">
        <f t="shared" si="73"/>
        <v>10083.11916</v>
      </c>
      <c r="N121" s="32">
        <f t="shared" si="73"/>
        <v>0.88083999999983575</v>
      </c>
      <c r="O121" s="68">
        <f t="shared" si="61"/>
        <v>99.991264974216591</v>
      </c>
      <c r="P121" s="71">
        <f t="shared" si="48"/>
        <v>0</v>
      </c>
      <c r="Q121" s="35">
        <f t="shared" si="49"/>
        <v>0.88083999999980733</v>
      </c>
      <c r="R121" s="72">
        <v>1103692</v>
      </c>
      <c r="S121" s="72">
        <f t="shared" si="50"/>
        <v>547217.88084</v>
      </c>
      <c r="T121" s="62">
        <f t="shared" si="62"/>
        <v>547217.88084</v>
      </c>
    </row>
    <row r="122" spans="1:21">
      <c r="A122" s="8"/>
      <c r="B122" s="13"/>
      <c r="C122" s="13"/>
      <c r="D122" s="14"/>
      <c r="E122" s="20">
        <v>111</v>
      </c>
      <c r="F122" s="136" t="s">
        <v>86</v>
      </c>
      <c r="G122" s="34">
        <v>288321</v>
      </c>
      <c r="H122" s="34">
        <v>1500</v>
      </c>
      <c r="I122" s="34">
        <v>1500</v>
      </c>
      <c r="J122" s="75">
        <f>M122</f>
        <v>1500</v>
      </c>
      <c r="K122" s="35"/>
      <c r="L122" s="36">
        <v>1500</v>
      </c>
      <c r="M122" s="92">
        <f t="shared" si="67"/>
        <v>1500</v>
      </c>
      <c r="N122" s="93">
        <f>I122-M122</f>
        <v>0</v>
      </c>
      <c r="O122" s="70">
        <f t="shared" si="61"/>
        <v>100</v>
      </c>
      <c r="P122" s="71">
        <f t="shared" si="48"/>
        <v>0</v>
      </c>
      <c r="Q122" s="35">
        <f t="shared" si="49"/>
        <v>0</v>
      </c>
      <c r="R122" s="72">
        <v>1103693</v>
      </c>
      <c r="S122" s="72">
        <f t="shared" si="50"/>
        <v>286821</v>
      </c>
      <c r="T122" s="62">
        <f t="shared" si="62"/>
        <v>286821</v>
      </c>
    </row>
    <row r="123" spans="1:21">
      <c r="A123" s="8"/>
      <c r="B123" s="13"/>
      <c r="C123" s="13"/>
      <c r="D123" s="14"/>
      <c r="E123" s="20">
        <v>112</v>
      </c>
      <c r="F123" s="136" t="s">
        <v>87</v>
      </c>
      <c r="G123" s="34"/>
      <c r="H123" s="34"/>
      <c r="I123" s="34"/>
      <c r="J123" s="75">
        <f t="shared" ref="J123:J138" si="74">M123</f>
        <v>0</v>
      </c>
      <c r="K123" s="35"/>
      <c r="L123" s="36"/>
      <c r="M123" s="92">
        <f t="shared" si="67"/>
        <v>0</v>
      </c>
      <c r="N123" s="93">
        <f>I123-M123</f>
        <v>0</v>
      </c>
      <c r="O123" s="70" t="e">
        <f t="shared" si="61"/>
        <v>#DIV/0!</v>
      </c>
      <c r="P123" s="71">
        <f t="shared" si="48"/>
        <v>0</v>
      </c>
      <c r="Q123" s="35">
        <f t="shared" si="49"/>
        <v>0</v>
      </c>
      <c r="R123" s="72">
        <v>1103694</v>
      </c>
      <c r="S123" s="72">
        <f t="shared" si="50"/>
        <v>0</v>
      </c>
    </row>
    <row r="124" spans="1:21">
      <c r="A124" s="8"/>
      <c r="B124" s="15"/>
      <c r="C124" s="15"/>
      <c r="D124" s="16"/>
      <c r="E124" s="20">
        <v>113</v>
      </c>
      <c r="F124" s="136" t="s">
        <v>88</v>
      </c>
      <c r="G124" s="34">
        <v>7446</v>
      </c>
      <c r="H124" s="34">
        <v>103</v>
      </c>
      <c r="I124" s="34">
        <v>103</v>
      </c>
      <c r="J124" s="75">
        <f t="shared" si="74"/>
        <v>102.643</v>
      </c>
      <c r="K124" s="35"/>
      <c r="L124" s="36">
        <v>102.643</v>
      </c>
      <c r="M124" s="92">
        <f t="shared" si="67"/>
        <v>102.643</v>
      </c>
      <c r="N124" s="93">
        <f t="shared" si="68"/>
        <v>0.35699999999999932</v>
      </c>
      <c r="O124" s="70">
        <f t="shared" si="61"/>
        <v>99.653398058252435</v>
      </c>
      <c r="P124" s="71">
        <f t="shared" si="48"/>
        <v>0</v>
      </c>
      <c r="Q124" s="35">
        <f t="shared" si="49"/>
        <v>0.35699999999999932</v>
      </c>
      <c r="R124" s="72">
        <v>1103695</v>
      </c>
      <c r="S124" s="72">
        <f t="shared" si="50"/>
        <v>7343.357</v>
      </c>
      <c r="T124" s="62">
        <f t="shared" si="62"/>
        <v>7343.357</v>
      </c>
    </row>
    <row r="125" spans="1:21">
      <c r="A125" s="8"/>
      <c r="B125" s="15"/>
      <c r="C125" s="15"/>
      <c r="D125" s="16"/>
      <c r="E125" s="69">
        <v>116</v>
      </c>
      <c r="F125" s="136" t="s">
        <v>89</v>
      </c>
      <c r="G125" s="34">
        <v>9009</v>
      </c>
      <c r="H125" s="34"/>
      <c r="I125" s="34"/>
      <c r="J125" s="75">
        <f t="shared" si="74"/>
        <v>0</v>
      </c>
      <c r="K125" s="35"/>
      <c r="L125" s="36"/>
      <c r="M125" s="92">
        <f>K125+L125</f>
        <v>0</v>
      </c>
      <c r="N125" s="93">
        <f>I125-M125</f>
        <v>0</v>
      </c>
      <c r="O125" s="70" t="e">
        <f>M125/I125*100</f>
        <v>#DIV/0!</v>
      </c>
      <c r="P125" s="71">
        <f t="shared" si="48"/>
        <v>0</v>
      </c>
      <c r="Q125" s="35">
        <f t="shared" si="49"/>
        <v>0</v>
      </c>
      <c r="R125" s="72">
        <v>1103696</v>
      </c>
      <c r="S125" s="72">
        <f t="shared" si="50"/>
        <v>9009</v>
      </c>
    </row>
    <row r="126" spans="1:21">
      <c r="A126" s="8"/>
      <c r="B126" s="15"/>
      <c r="C126" s="15"/>
      <c r="D126" s="16"/>
      <c r="E126" s="20">
        <v>121</v>
      </c>
      <c r="F126" s="136" t="s">
        <v>90</v>
      </c>
      <c r="G126" s="34">
        <v>14861</v>
      </c>
      <c r="H126" s="34"/>
      <c r="I126" s="34"/>
      <c r="J126" s="75">
        <f t="shared" si="74"/>
        <v>0</v>
      </c>
      <c r="K126" s="35"/>
      <c r="L126" s="36"/>
      <c r="M126" s="92">
        <f t="shared" si="67"/>
        <v>0</v>
      </c>
      <c r="N126" s="93">
        <f t="shared" si="68"/>
        <v>0</v>
      </c>
      <c r="O126" s="70" t="e">
        <f t="shared" si="61"/>
        <v>#DIV/0!</v>
      </c>
      <c r="P126" s="71">
        <f t="shared" si="48"/>
        <v>0</v>
      </c>
      <c r="Q126" s="35">
        <f t="shared" si="49"/>
        <v>0</v>
      </c>
      <c r="R126" s="72">
        <v>1103697</v>
      </c>
      <c r="S126" s="72">
        <f t="shared" si="50"/>
        <v>14861</v>
      </c>
      <c r="T126" s="62">
        <f t="shared" si="62"/>
        <v>14861</v>
      </c>
    </row>
    <row r="127" spans="1:21" ht="25.5">
      <c r="A127" s="8"/>
      <c r="B127" s="15"/>
      <c r="C127" s="15"/>
      <c r="D127" s="16"/>
      <c r="E127" s="20">
        <v>122</v>
      </c>
      <c r="F127" s="136" t="s">
        <v>91</v>
      </c>
      <c r="G127" s="37">
        <v>12910</v>
      </c>
      <c r="H127" s="37"/>
      <c r="I127" s="37"/>
      <c r="J127" s="75">
        <f t="shared" si="74"/>
        <v>0</v>
      </c>
      <c r="K127" s="35"/>
      <c r="L127" s="35"/>
      <c r="M127" s="92">
        <f t="shared" si="67"/>
        <v>0</v>
      </c>
      <c r="N127" s="93">
        <f t="shared" si="68"/>
        <v>0</v>
      </c>
      <c r="O127" s="70" t="e">
        <f t="shared" si="61"/>
        <v>#DIV/0!</v>
      </c>
      <c r="P127" s="71">
        <f t="shared" si="48"/>
        <v>0</v>
      </c>
      <c r="Q127" s="35">
        <f t="shared" si="49"/>
        <v>0</v>
      </c>
      <c r="R127" s="72">
        <v>1103698</v>
      </c>
      <c r="S127" s="72">
        <f t="shared" si="50"/>
        <v>12910</v>
      </c>
      <c r="T127" s="62">
        <f t="shared" si="62"/>
        <v>12910</v>
      </c>
    </row>
    <row r="128" spans="1:21">
      <c r="A128" s="8"/>
      <c r="B128" s="15"/>
      <c r="C128" s="15"/>
      <c r="D128" s="16"/>
      <c r="E128" s="20">
        <v>123</v>
      </c>
      <c r="F128" s="136" t="s">
        <v>92</v>
      </c>
      <c r="G128" s="34">
        <v>228</v>
      </c>
      <c r="H128" s="34"/>
      <c r="I128" s="34"/>
      <c r="J128" s="75">
        <f t="shared" si="74"/>
        <v>0</v>
      </c>
      <c r="K128" s="35"/>
      <c r="L128" s="36"/>
      <c r="M128" s="92">
        <f t="shared" si="67"/>
        <v>0</v>
      </c>
      <c r="N128" s="93">
        <f t="shared" si="68"/>
        <v>0</v>
      </c>
      <c r="O128" s="70" t="e">
        <f t="shared" si="61"/>
        <v>#DIV/0!</v>
      </c>
      <c r="P128" s="71">
        <f t="shared" si="48"/>
        <v>0</v>
      </c>
      <c r="Q128" s="35">
        <f t="shared" si="49"/>
        <v>0</v>
      </c>
      <c r="R128" s="72">
        <v>1103699</v>
      </c>
      <c r="S128" s="72">
        <f t="shared" si="50"/>
        <v>228</v>
      </c>
      <c r="T128" s="62">
        <f t="shared" si="62"/>
        <v>228</v>
      </c>
    </row>
    <row r="129" spans="1:21">
      <c r="A129" s="9"/>
      <c r="B129" s="15"/>
      <c r="C129" s="15"/>
      <c r="D129" s="16"/>
      <c r="E129" s="20">
        <v>124</v>
      </c>
      <c r="F129" s="136" t="s">
        <v>93</v>
      </c>
      <c r="G129" s="37">
        <v>8607</v>
      </c>
      <c r="H129" s="37"/>
      <c r="I129" s="37"/>
      <c r="J129" s="75">
        <f t="shared" si="74"/>
        <v>0</v>
      </c>
      <c r="K129" s="35"/>
      <c r="L129" s="35"/>
      <c r="M129" s="92">
        <f t="shared" si="67"/>
        <v>0</v>
      </c>
      <c r="N129" s="93">
        <f t="shared" si="68"/>
        <v>0</v>
      </c>
      <c r="O129" s="70" t="e">
        <f t="shared" si="61"/>
        <v>#DIV/0!</v>
      </c>
      <c r="P129" s="71">
        <f t="shared" si="48"/>
        <v>0</v>
      </c>
      <c r="Q129" s="35">
        <f t="shared" si="49"/>
        <v>0</v>
      </c>
      <c r="R129" s="72">
        <v>1103700</v>
      </c>
      <c r="S129" s="72">
        <f t="shared" si="50"/>
        <v>8607</v>
      </c>
      <c r="T129" s="62">
        <f t="shared" si="62"/>
        <v>8607</v>
      </c>
    </row>
    <row r="130" spans="1:21">
      <c r="A130" s="9"/>
      <c r="B130" s="15"/>
      <c r="C130" s="15"/>
      <c r="D130" s="16"/>
      <c r="E130" s="20">
        <v>141</v>
      </c>
      <c r="F130" s="136" t="s">
        <v>116</v>
      </c>
      <c r="G130" s="34">
        <v>138471</v>
      </c>
      <c r="H130" s="34"/>
      <c r="I130" s="34"/>
      <c r="J130" s="75">
        <f t="shared" si="74"/>
        <v>0</v>
      </c>
      <c r="K130" s="35"/>
      <c r="L130" s="36"/>
      <c r="M130" s="92">
        <f t="shared" si="67"/>
        <v>0</v>
      </c>
      <c r="N130" s="93">
        <f t="shared" si="68"/>
        <v>0</v>
      </c>
      <c r="O130" s="70" t="e">
        <f t="shared" si="61"/>
        <v>#DIV/0!</v>
      </c>
      <c r="P130" s="71">
        <f t="shared" si="48"/>
        <v>0</v>
      </c>
      <c r="Q130" s="35">
        <f t="shared" si="49"/>
        <v>0</v>
      </c>
      <c r="R130" s="72">
        <v>1103701</v>
      </c>
      <c r="S130" s="72">
        <f t="shared" si="50"/>
        <v>138471</v>
      </c>
      <c r="T130" s="62">
        <f t="shared" si="62"/>
        <v>138471</v>
      </c>
    </row>
    <row r="131" spans="1:21">
      <c r="A131" s="9"/>
      <c r="B131" s="15"/>
      <c r="C131" s="15"/>
      <c r="D131" s="16"/>
      <c r="E131" s="20">
        <v>144</v>
      </c>
      <c r="F131" s="136" t="s">
        <v>97</v>
      </c>
      <c r="G131" s="37">
        <v>1470</v>
      </c>
      <c r="H131" s="37"/>
      <c r="I131" s="37"/>
      <c r="J131" s="75">
        <f t="shared" si="74"/>
        <v>0</v>
      </c>
      <c r="K131" s="35"/>
      <c r="L131" s="36"/>
      <c r="M131" s="92">
        <f t="shared" si="67"/>
        <v>0</v>
      </c>
      <c r="N131" s="93">
        <f t="shared" si="68"/>
        <v>0</v>
      </c>
      <c r="O131" s="70" t="e">
        <f t="shared" ref="O131:O199" si="75">M131/I131*100</f>
        <v>#DIV/0!</v>
      </c>
      <c r="P131" s="71">
        <f t="shared" si="48"/>
        <v>0</v>
      </c>
      <c r="Q131" s="35">
        <f t="shared" si="49"/>
        <v>0</v>
      </c>
      <c r="R131" s="72">
        <v>1103702</v>
      </c>
      <c r="S131" s="72">
        <f t="shared" si="50"/>
        <v>1470</v>
      </c>
      <c r="T131" s="62">
        <f t="shared" si="62"/>
        <v>1470</v>
      </c>
    </row>
    <row r="132" spans="1:21">
      <c r="A132" s="9"/>
      <c r="B132" s="15"/>
      <c r="C132" s="15"/>
      <c r="D132" s="16"/>
      <c r="E132" s="20">
        <v>149</v>
      </c>
      <c r="F132" s="136" t="s">
        <v>98</v>
      </c>
      <c r="G132" s="34">
        <v>5557</v>
      </c>
      <c r="H132" s="34"/>
      <c r="I132" s="34"/>
      <c r="J132" s="75">
        <f t="shared" si="74"/>
        <v>0</v>
      </c>
      <c r="K132" s="35"/>
      <c r="L132" s="35"/>
      <c r="M132" s="93">
        <f t="shared" si="67"/>
        <v>0</v>
      </c>
      <c r="N132" s="93">
        <f>I132-M132</f>
        <v>0</v>
      </c>
      <c r="O132" s="70" t="e">
        <f t="shared" si="75"/>
        <v>#DIV/0!</v>
      </c>
      <c r="P132" s="71">
        <f t="shared" si="48"/>
        <v>0</v>
      </c>
      <c r="Q132" s="35">
        <f t="shared" si="49"/>
        <v>0</v>
      </c>
      <c r="R132" s="72">
        <v>1103703</v>
      </c>
      <c r="S132" s="72">
        <f t="shared" si="50"/>
        <v>5557</v>
      </c>
      <c r="T132" s="62">
        <f t="shared" si="62"/>
        <v>5557</v>
      </c>
    </row>
    <row r="133" spans="1:21">
      <c r="A133" s="9"/>
      <c r="B133" s="15"/>
      <c r="C133" s="15"/>
      <c r="D133" s="16"/>
      <c r="E133" s="20">
        <v>151</v>
      </c>
      <c r="F133" s="136" t="s">
        <v>99</v>
      </c>
      <c r="G133" s="34">
        <v>60855</v>
      </c>
      <c r="H133" s="34">
        <v>8481</v>
      </c>
      <c r="I133" s="34">
        <v>8481</v>
      </c>
      <c r="J133" s="75">
        <f t="shared" si="74"/>
        <v>8480.4761600000002</v>
      </c>
      <c r="K133" s="35"/>
      <c r="L133" s="36">
        <v>8480.4761600000002</v>
      </c>
      <c r="M133" s="93">
        <f t="shared" si="67"/>
        <v>8480.4761600000002</v>
      </c>
      <c r="N133" s="93">
        <f t="shared" si="68"/>
        <v>0.52383999999983644</v>
      </c>
      <c r="O133" s="70">
        <f t="shared" si="75"/>
        <v>99.993823369885632</v>
      </c>
      <c r="P133" s="71">
        <f t="shared" si="48"/>
        <v>0</v>
      </c>
      <c r="Q133" s="35">
        <f t="shared" si="49"/>
        <v>0.52383999999983644</v>
      </c>
      <c r="R133" s="72">
        <v>1103704</v>
      </c>
      <c r="S133" s="72">
        <f t="shared" si="50"/>
        <v>52374.523840000002</v>
      </c>
      <c r="T133" s="62">
        <f t="shared" si="62"/>
        <v>52374.523840000002</v>
      </c>
    </row>
    <row r="134" spans="1:21">
      <c r="A134" s="9"/>
      <c r="B134" s="15"/>
      <c r="C134" s="15"/>
      <c r="D134" s="16"/>
      <c r="E134" s="20">
        <v>152</v>
      </c>
      <c r="F134" s="136" t="s">
        <v>100</v>
      </c>
      <c r="G134" s="34">
        <v>1940</v>
      </c>
      <c r="H134" s="34"/>
      <c r="I134" s="34"/>
      <c r="J134" s="75">
        <f t="shared" si="74"/>
        <v>0</v>
      </c>
      <c r="K134" s="35"/>
      <c r="L134" s="36"/>
      <c r="M134" s="92">
        <f t="shared" si="67"/>
        <v>0</v>
      </c>
      <c r="N134" s="93">
        <f t="shared" si="68"/>
        <v>0</v>
      </c>
      <c r="O134" s="70" t="e">
        <f t="shared" si="75"/>
        <v>#DIV/0!</v>
      </c>
      <c r="P134" s="71">
        <f t="shared" si="48"/>
        <v>0</v>
      </c>
      <c r="Q134" s="35">
        <f t="shared" si="49"/>
        <v>0</v>
      </c>
      <c r="R134" s="72">
        <v>1103705</v>
      </c>
      <c r="S134" s="72">
        <f t="shared" si="50"/>
        <v>1940</v>
      </c>
      <c r="T134" s="62">
        <f t="shared" si="62"/>
        <v>1940</v>
      </c>
    </row>
    <row r="135" spans="1:21" ht="25.5">
      <c r="A135" s="9"/>
      <c r="B135" s="15"/>
      <c r="C135" s="15"/>
      <c r="D135" s="16"/>
      <c r="E135" s="20">
        <v>158</v>
      </c>
      <c r="F135" s="136" t="s">
        <v>101</v>
      </c>
      <c r="G135" s="34">
        <v>730</v>
      </c>
      <c r="H135" s="34"/>
      <c r="I135" s="34"/>
      <c r="J135" s="75">
        <f t="shared" si="74"/>
        <v>0</v>
      </c>
      <c r="K135" s="35"/>
      <c r="L135" s="36"/>
      <c r="M135" s="92">
        <f t="shared" si="67"/>
        <v>0</v>
      </c>
      <c r="N135" s="93">
        <f t="shared" si="68"/>
        <v>0</v>
      </c>
      <c r="O135" s="70" t="e">
        <f t="shared" si="75"/>
        <v>#DIV/0!</v>
      </c>
      <c r="P135" s="71">
        <f t="shared" si="48"/>
        <v>0</v>
      </c>
      <c r="Q135" s="35">
        <f t="shared" si="49"/>
        <v>0</v>
      </c>
      <c r="R135" s="72">
        <v>1103706</v>
      </c>
      <c r="S135" s="72">
        <f t="shared" si="50"/>
        <v>730</v>
      </c>
      <c r="T135" s="62">
        <f t="shared" si="62"/>
        <v>730</v>
      </c>
    </row>
    <row r="136" spans="1:21">
      <c r="A136" s="9"/>
      <c r="B136" s="15"/>
      <c r="C136" s="15"/>
      <c r="D136" s="16"/>
      <c r="E136" s="20">
        <v>159</v>
      </c>
      <c r="F136" s="136" t="s">
        <v>84</v>
      </c>
      <c r="G136" s="34">
        <v>5598</v>
      </c>
      <c r="H136" s="34"/>
      <c r="I136" s="34"/>
      <c r="J136" s="75">
        <f t="shared" si="74"/>
        <v>0</v>
      </c>
      <c r="K136" s="35"/>
      <c r="L136" s="36"/>
      <c r="M136" s="92">
        <f t="shared" si="67"/>
        <v>0</v>
      </c>
      <c r="N136" s="93">
        <f t="shared" si="68"/>
        <v>0</v>
      </c>
      <c r="O136" s="70" t="e">
        <f t="shared" si="75"/>
        <v>#DIV/0!</v>
      </c>
      <c r="P136" s="71">
        <f t="shared" si="48"/>
        <v>0</v>
      </c>
      <c r="Q136" s="35">
        <f t="shared" si="49"/>
        <v>0</v>
      </c>
      <c r="R136" s="72">
        <v>1103707</v>
      </c>
      <c r="S136" s="72">
        <f t="shared" si="50"/>
        <v>5598</v>
      </c>
      <c r="T136" s="62">
        <f t="shared" si="62"/>
        <v>5598</v>
      </c>
    </row>
    <row r="137" spans="1:21">
      <c r="A137" s="9"/>
      <c r="B137" s="15"/>
      <c r="C137" s="15"/>
      <c r="D137" s="16"/>
      <c r="E137" s="20">
        <v>161</v>
      </c>
      <c r="F137" s="136" t="s">
        <v>102</v>
      </c>
      <c r="G137" s="37"/>
      <c r="H137" s="37"/>
      <c r="I137" s="37"/>
      <c r="J137" s="75">
        <f t="shared" si="74"/>
        <v>0</v>
      </c>
      <c r="K137" s="35"/>
      <c r="L137" s="35"/>
      <c r="M137" s="92">
        <f t="shared" si="67"/>
        <v>0</v>
      </c>
      <c r="N137" s="93">
        <f t="shared" si="68"/>
        <v>0</v>
      </c>
      <c r="O137" s="70" t="e">
        <f t="shared" si="75"/>
        <v>#DIV/0!</v>
      </c>
      <c r="P137" s="71">
        <f t="shared" si="48"/>
        <v>0</v>
      </c>
      <c r="Q137" s="35">
        <f t="shared" si="49"/>
        <v>0</v>
      </c>
      <c r="R137" s="72">
        <v>1103708</v>
      </c>
      <c r="S137" s="72">
        <f t="shared" si="50"/>
        <v>0</v>
      </c>
      <c r="T137" s="62">
        <f t="shared" si="62"/>
        <v>0</v>
      </c>
    </row>
    <row r="138" spans="1:21">
      <c r="A138" s="9"/>
      <c r="B138" s="15"/>
      <c r="C138" s="15"/>
      <c r="D138" s="16"/>
      <c r="E138" s="20">
        <v>169</v>
      </c>
      <c r="F138" s="136" t="s">
        <v>103</v>
      </c>
      <c r="G138" s="34">
        <v>1298</v>
      </c>
      <c r="H138" s="34"/>
      <c r="I138" s="34"/>
      <c r="J138" s="75">
        <f t="shared" si="74"/>
        <v>0</v>
      </c>
      <c r="K138" s="35"/>
      <c r="L138" s="36"/>
      <c r="M138" s="92">
        <f t="shared" si="67"/>
        <v>0</v>
      </c>
      <c r="N138" s="93">
        <f t="shared" si="68"/>
        <v>0</v>
      </c>
      <c r="O138" s="70" t="e">
        <f t="shared" si="75"/>
        <v>#DIV/0!</v>
      </c>
      <c r="P138" s="71">
        <f t="shared" ref="P138:P201" si="76">J138-M138</f>
        <v>0</v>
      </c>
      <c r="Q138" s="35">
        <f t="shared" ref="Q138:Q201" si="77">H138-J138</f>
        <v>0</v>
      </c>
      <c r="R138" s="72">
        <v>1103709</v>
      </c>
      <c r="S138" s="72">
        <f t="shared" ref="S138:S201" si="78">G138-M138</f>
        <v>1298</v>
      </c>
      <c r="T138" s="62">
        <f t="shared" si="62"/>
        <v>1298</v>
      </c>
    </row>
    <row r="139" spans="1:21" ht="25.5">
      <c r="A139" s="100"/>
      <c r="B139" s="15"/>
      <c r="C139" s="57" t="s">
        <v>43</v>
      </c>
      <c r="D139" s="16"/>
      <c r="E139" s="20"/>
      <c r="F139" s="139" t="s">
        <v>119</v>
      </c>
      <c r="G139" s="59">
        <f t="shared" ref="G139:N140" si="79">G140</f>
        <v>0</v>
      </c>
      <c r="H139" s="59">
        <f t="shared" si="79"/>
        <v>0</v>
      </c>
      <c r="I139" s="59">
        <f t="shared" si="79"/>
        <v>0</v>
      </c>
      <c r="J139" s="33">
        <f t="shared" si="79"/>
        <v>0</v>
      </c>
      <c r="K139" s="59">
        <f t="shared" si="79"/>
        <v>0</v>
      </c>
      <c r="L139" s="29">
        <f t="shared" si="79"/>
        <v>0</v>
      </c>
      <c r="M139" s="59">
        <f t="shared" si="79"/>
        <v>0</v>
      </c>
      <c r="N139" s="59">
        <f t="shared" si="79"/>
        <v>0</v>
      </c>
      <c r="O139" s="70"/>
      <c r="P139" s="71">
        <f t="shared" si="76"/>
        <v>0</v>
      </c>
      <c r="Q139" s="35">
        <f t="shared" si="77"/>
        <v>0</v>
      </c>
      <c r="R139" s="72">
        <v>1103710</v>
      </c>
      <c r="S139" s="72">
        <f t="shared" si="78"/>
        <v>0</v>
      </c>
    </row>
    <row r="140" spans="1:21">
      <c r="A140" s="9"/>
      <c r="B140" s="12"/>
      <c r="C140" s="12"/>
      <c r="D140" s="11" t="s">
        <v>7</v>
      </c>
      <c r="E140" s="97"/>
      <c r="F140" s="140" t="s">
        <v>85</v>
      </c>
      <c r="G140" s="98">
        <f>G141</f>
        <v>0</v>
      </c>
      <c r="H140" s="98">
        <f t="shared" si="79"/>
        <v>0</v>
      </c>
      <c r="I140" s="98">
        <f t="shared" si="79"/>
        <v>0</v>
      </c>
      <c r="J140" s="99">
        <f t="shared" si="79"/>
        <v>0</v>
      </c>
      <c r="K140" s="98">
        <f t="shared" si="79"/>
        <v>0</v>
      </c>
      <c r="L140" s="32">
        <f t="shared" si="79"/>
        <v>0</v>
      </c>
      <c r="M140" s="98">
        <f t="shared" si="79"/>
        <v>0</v>
      </c>
      <c r="N140" s="98">
        <f t="shared" si="79"/>
        <v>0</v>
      </c>
      <c r="O140" s="68" t="e">
        <f>M140/I140*100</f>
        <v>#DIV/0!</v>
      </c>
      <c r="P140" s="71">
        <f t="shared" si="76"/>
        <v>0</v>
      </c>
      <c r="Q140" s="35">
        <f t="shared" si="77"/>
        <v>0</v>
      </c>
      <c r="R140" s="72">
        <v>1103711</v>
      </c>
      <c r="S140" s="72">
        <f t="shared" si="78"/>
        <v>0</v>
      </c>
      <c r="T140" s="62">
        <f>G140-J140</f>
        <v>0</v>
      </c>
    </row>
    <row r="141" spans="1:21" ht="25.5">
      <c r="A141" s="9"/>
      <c r="B141" s="13"/>
      <c r="C141" s="13"/>
      <c r="D141" s="14"/>
      <c r="E141" s="20">
        <v>414</v>
      </c>
      <c r="F141" s="50" t="s">
        <v>105</v>
      </c>
      <c r="G141" s="37"/>
      <c r="H141" s="37"/>
      <c r="I141" s="37"/>
      <c r="J141" s="75"/>
      <c r="K141" s="35"/>
      <c r="L141" s="71"/>
      <c r="M141" s="93">
        <f t="shared" si="67"/>
        <v>0</v>
      </c>
      <c r="N141" s="93">
        <f>I141-M141</f>
        <v>0</v>
      </c>
      <c r="O141" s="70"/>
      <c r="P141" s="71">
        <f t="shared" si="76"/>
        <v>0</v>
      </c>
      <c r="Q141" s="35">
        <f t="shared" si="77"/>
        <v>0</v>
      </c>
      <c r="R141" s="72">
        <v>1103712</v>
      </c>
      <c r="S141" s="72">
        <f t="shared" si="78"/>
        <v>0</v>
      </c>
    </row>
    <row r="142" spans="1:21" s="113" customFormat="1">
      <c r="A142" s="8"/>
      <c r="B142" s="8" t="s">
        <v>14</v>
      </c>
      <c r="C142" s="8"/>
      <c r="D142" s="21"/>
      <c r="E142" s="21"/>
      <c r="F142" s="139" t="s">
        <v>120</v>
      </c>
      <c r="G142" s="59">
        <f>G143+G163</f>
        <v>316128</v>
      </c>
      <c r="H142" s="59">
        <f t="shared" ref="H142:N142" si="80">H143+H163</f>
        <v>19290</v>
      </c>
      <c r="I142" s="59">
        <f t="shared" si="80"/>
        <v>19290</v>
      </c>
      <c r="J142" s="59">
        <f t="shared" si="80"/>
        <v>15577.029129999999</v>
      </c>
      <c r="K142" s="59">
        <f t="shared" si="80"/>
        <v>0</v>
      </c>
      <c r="L142" s="29">
        <f t="shared" si="80"/>
        <v>18632.26413</v>
      </c>
      <c r="M142" s="29">
        <f t="shared" si="80"/>
        <v>18632.26413</v>
      </c>
      <c r="N142" s="29">
        <f t="shared" si="80"/>
        <v>657.73586999999998</v>
      </c>
      <c r="O142" s="68">
        <f t="shared" si="75"/>
        <v>96.590275427682741</v>
      </c>
      <c r="P142" s="71">
        <f t="shared" si="76"/>
        <v>-3055.2350000000006</v>
      </c>
      <c r="Q142" s="35">
        <f t="shared" si="77"/>
        <v>3712.970870000001</v>
      </c>
      <c r="R142" s="72">
        <v>1103713</v>
      </c>
      <c r="S142" s="72">
        <f t="shared" si="78"/>
        <v>297495.73586999997</v>
      </c>
      <c r="T142" s="62">
        <f t="shared" ref="T142:T220" si="81">G142-J142</f>
        <v>300550.97087000002</v>
      </c>
      <c r="U142" s="73"/>
    </row>
    <row r="143" spans="1:21" ht="38.25">
      <c r="A143" s="8"/>
      <c r="B143" s="8"/>
      <c r="C143" s="17" t="s">
        <v>38</v>
      </c>
      <c r="D143" s="17"/>
      <c r="E143" s="21"/>
      <c r="F143" s="139" t="s">
        <v>121</v>
      </c>
      <c r="G143" s="42">
        <f>G144</f>
        <v>316128</v>
      </c>
      <c r="H143" s="42">
        <f t="shared" ref="H143:N143" si="82">H144</f>
        <v>19290</v>
      </c>
      <c r="I143" s="42">
        <f t="shared" si="82"/>
        <v>19290</v>
      </c>
      <c r="J143" s="42">
        <f t="shared" si="82"/>
        <v>15577.029129999999</v>
      </c>
      <c r="K143" s="42">
        <f t="shared" si="82"/>
        <v>0</v>
      </c>
      <c r="L143" s="42">
        <f t="shared" si="82"/>
        <v>18632.26413</v>
      </c>
      <c r="M143" s="42">
        <f t="shared" si="82"/>
        <v>18632.26413</v>
      </c>
      <c r="N143" s="42">
        <f t="shared" si="82"/>
        <v>657.73586999999998</v>
      </c>
      <c r="O143" s="68">
        <f t="shared" si="75"/>
        <v>96.590275427682741</v>
      </c>
      <c r="P143" s="71">
        <f t="shared" si="76"/>
        <v>-3055.2350000000006</v>
      </c>
      <c r="Q143" s="35">
        <f t="shared" si="77"/>
        <v>3712.970870000001</v>
      </c>
      <c r="R143" s="72">
        <v>1103714</v>
      </c>
      <c r="S143" s="72">
        <f t="shared" si="78"/>
        <v>297495.73586999997</v>
      </c>
      <c r="T143" s="62">
        <f t="shared" si="81"/>
        <v>300550.97087000002</v>
      </c>
    </row>
    <row r="144" spans="1:21">
      <c r="A144" s="8"/>
      <c r="B144" s="8"/>
      <c r="C144" s="17"/>
      <c r="D144" s="17" t="s">
        <v>7</v>
      </c>
      <c r="E144" s="10"/>
      <c r="F144" s="140" t="s">
        <v>85</v>
      </c>
      <c r="G144" s="40">
        <f>SUM(G145:G162)</f>
        <v>316128</v>
      </c>
      <c r="H144" s="40">
        <f>SUM(H145:H162)</f>
        <v>19290</v>
      </c>
      <c r="I144" s="40">
        <f>SUM(I145:I162)</f>
        <v>19290</v>
      </c>
      <c r="J144" s="24">
        <f t="shared" ref="J144:M144" si="83">SUM(J145:J162)</f>
        <v>15577.029129999999</v>
      </c>
      <c r="K144" s="40">
        <f t="shared" si="83"/>
        <v>0</v>
      </c>
      <c r="L144" s="24">
        <f>SUM(L145:L162)</f>
        <v>18632.26413</v>
      </c>
      <c r="M144" s="24">
        <f t="shared" si="83"/>
        <v>18632.26413</v>
      </c>
      <c r="N144" s="24">
        <f>SUM(N145:N162)</f>
        <v>657.73586999999998</v>
      </c>
      <c r="O144" s="66">
        <f t="shared" si="75"/>
        <v>96.590275427682741</v>
      </c>
      <c r="P144" s="71">
        <f t="shared" si="76"/>
        <v>-3055.2350000000006</v>
      </c>
      <c r="Q144" s="35">
        <f t="shared" si="77"/>
        <v>3712.970870000001</v>
      </c>
      <c r="R144" s="72">
        <v>1103715</v>
      </c>
      <c r="S144" s="72">
        <f t="shared" si="78"/>
        <v>297495.73586999997</v>
      </c>
      <c r="T144" s="62">
        <f t="shared" si="81"/>
        <v>300550.97087000002</v>
      </c>
    </row>
    <row r="145" spans="1:20">
      <c r="A145" s="8"/>
      <c r="B145" s="9"/>
      <c r="C145" s="9"/>
      <c r="D145" s="69"/>
      <c r="E145" s="69">
        <v>111</v>
      </c>
      <c r="F145" s="136" t="s">
        <v>86</v>
      </c>
      <c r="G145" s="26">
        <v>216606</v>
      </c>
      <c r="H145" s="26">
        <v>16000</v>
      </c>
      <c r="I145" s="26">
        <v>16000</v>
      </c>
      <c r="J145" s="105">
        <v>13657.764999999999</v>
      </c>
      <c r="K145" s="35"/>
      <c r="L145" s="27">
        <v>16000</v>
      </c>
      <c r="M145" s="92">
        <f t="shared" si="67"/>
        <v>16000</v>
      </c>
      <c r="N145" s="93">
        <f t="shared" si="68"/>
        <v>0</v>
      </c>
      <c r="O145" s="70">
        <f t="shared" si="75"/>
        <v>100</v>
      </c>
      <c r="P145" s="71">
        <f t="shared" si="76"/>
        <v>-2342.2350000000006</v>
      </c>
      <c r="Q145" s="35">
        <f t="shared" si="77"/>
        <v>2342.2350000000006</v>
      </c>
      <c r="R145" s="72">
        <v>1103716</v>
      </c>
      <c r="S145" s="72">
        <f t="shared" si="78"/>
        <v>200606</v>
      </c>
      <c r="T145" s="62">
        <f t="shared" si="81"/>
        <v>202948.23499999999</v>
      </c>
    </row>
    <row r="146" spans="1:20">
      <c r="A146" s="8"/>
      <c r="B146" s="9"/>
      <c r="C146" s="9"/>
      <c r="D146" s="69"/>
      <c r="E146" s="69">
        <v>112</v>
      </c>
      <c r="F146" s="136" t="s">
        <v>87</v>
      </c>
      <c r="G146" s="26"/>
      <c r="H146" s="26"/>
      <c r="I146" s="26"/>
      <c r="J146" s="105">
        <f t="shared" ref="J146:J162" si="84">M146</f>
        <v>0</v>
      </c>
      <c r="K146" s="35"/>
      <c r="L146" s="27"/>
      <c r="M146" s="92">
        <f t="shared" si="67"/>
        <v>0</v>
      </c>
      <c r="N146" s="93">
        <f t="shared" si="68"/>
        <v>0</v>
      </c>
      <c r="O146" s="70" t="e">
        <f t="shared" si="75"/>
        <v>#DIV/0!</v>
      </c>
      <c r="P146" s="71">
        <f t="shared" si="76"/>
        <v>0</v>
      </c>
      <c r="Q146" s="35">
        <f t="shared" si="77"/>
        <v>0</v>
      </c>
      <c r="R146" s="72">
        <v>1103717</v>
      </c>
      <c r="S146" s="72">
        <f t="shared" si="78"/>
        <v>0</v>
      </c>
    </row>
    <row r="147" spans="1:20">
      <c r="A147" s="8"/>
      <c r="B147" s="9"/>
      <c r="C147" s="9"/>
      <c r="D147" s="69"/>
      <c r="E147" s="76">
        <v>113</v>
      </c>
      <c r="F147" s="136" t="s">
        <v>88</v>
      </c>
      <c r="G147" s="26">
        <v>8519</v>
      </c>
      <c r="H147" s="26"/>
      <c r="I147" s="26"/>
      <c r="J147" s="105">
        <f t="shared" si="84"/>
        <v>0</v>
      </c>
      <c r="K147" s="35"/>
      <c r="L147" s="27"/>
      <c r="M147" s="92">
        <f t="shared" si="67"/>
        <v>0</v>
      </c>
      <c r="N147" s="93">
        <f t="shared" si="68"/>
        <v>0</v>
      </c>
      <c r="O147" s="70" t="e">
        <f t="shared" si="75"/>
        <v>#DIV/0!</v>
      </c>
      <c r="P147" s="71">
        <f t="shared" si="76"/>
        <v>0</v>
      </c>
      <c r="Q147" s="35">
        <f t="shared" si="77"/>
        <v>0</v>
      </c>
      <c r="R147" s="72">
        <v>1103718</v>
      </c>
      <c r="S147" s="72">
        <f t="shared" si="78"/>
        <v>8519</v>
      </c>
      <c r="T147" s="62">
        <f t="shared" si="81"/>
        <v>8519</v>
      </c>
    </row>
    <row r="148" spans="1:20">
      <c r="A148" s="8"/>
      <c r="B148" s="9"/>
      <c r="C148" s="9"/>
      <c r="D148" s="69"/>
      <c r="E148" s="69">
        <v>116</v>
      </c>
      <c r="F148" s="136" t="s">
        <v>89</v>
      </c>
      <c r="G148" s="26">
        <v>2134</v>
      </c>
      <c r="H148" s="26">
        <v>170</v>
      </c>
      <c r="I148" s="26">
        <v>170</v>
      </c>
      <c r="J148" s="105">
        <f t="shared" si="84"/>
        <v>170</v>
      </c>
      <c r="K148" s="35"/>
      <c r="L148" s="27">
        <v>170</v>
      </c>
      <c r="M148" s="92">
        <f>K148+L148</f>
        <v>170</v>
      </c>
      <c r="N148" s="93">
        <f>I148-M148</f>
        <v>0</v>
      </c>
      <c r="O148" s="70">
        <f>M148/I148*100</f>
        <v>100</v>
      </c>
      <c r="P148" s="71">
        <f t="shared" si="76"/>
        <v>0</v>
      </c>
      <c r="Q148" s="35">
        <f t="shared" si="77"/>
        <v>0</v>
      </c>
      <c r="R148" s="72">
        <v>1103719</v>
      </c>
      <c r="S148" s="72">
        <f t="shared" si="78"/>
        <v>1964</v>
      </c>
    </row>
    <row r="149" spans="1:20">
      <c r="A149" s="8"/>
      <c r="B149" s="9"/>
      <c r="C149" s="9"/>
      <c r="D149" s="69"/>
      <c r="E149" s="69">
        <v>121</v>
      </c>
      <c r="F149" s="136" t="s">
        <v>90</v>
      </c>
      <c r="G149" s="26">
        <v>11697</v>
      </c>
      <c r="H149" s="26">
        <v>950</v>
      </c>
      <c r="I149" s="26">
        <v>950</v>
      </c>
      <c r="J149" s="105">
        <f t="shared" si="84"/>
        <v>950</v>
      </c>
      <c r="K149" s="35"/>
      <c r="L149" s="27">
        <v>950</v>
      </c>
      <c r="M149" s="92">
        <f t="shared" si="67"/>
        <v>950</v>
      </c>
      <c r="N149" s="93">
        <f t="shared" si="68"/>
        <v>0</v>
      </c>
      <c r="O149" s="70">
        <f t="shared" si="75"/>
        <v>100</v>
      </c>
      <c r="P149" s="71">
        <f t="shared" si="76"/>
        <v>0</v>
      </c>
      <c r="Q149" s="35">
        <f t="shared" si="77"/>
        <v>0</v>
      </c>
      <c r="R149" s="72">
        <v>1103720</v>
      </c>
      <c r="S149" s="72">
        <f t="shared" si="78"/>
        <v>10747</v>
      </c>
      <c r="T149" s="62">
        <f t="shared" si="81"/>
        <v>10747</v>
      </c>
    </row>
    <row r="150" spans="1:20" ht="25.5">
      <c r="A150" s="8"/>
      <c r="B150" s="9"/>
      <c r="C150" s="9"/>
      <c r="D150" s="69"/>
      <c r="E150" s="69">
        <v>122</v>
      </c>
      <c r="F150" s="136" t="s">
        <v>91</v>
      </c>
      <c r="G150" s="26">
        <v>9747</v>
      </c>
      <c r="H150" s="26">
        <v>720</v>
      </c>
      <c r="I150" s="26">
        <v>720</v>
      </c>
      <c r="J150" s="105">
        <v>7</v>
      </c>
      <c r="K150" s="35"/>
      <c r="L150" s="27">
        <v>720</v>
      </c>
      <c r="M150" s="92">
        <f t="shared" si="67"/>
        <v>720</v>
      </c>
      <c r="N150" s="93">
        <f t="shared" si="68"/>
        <v>0</v>
      </c>
      <c r="O150" s="70">
        <f t="shared" si="75"/>
        <v>100</v>
      </c>
      <c r="P150" s="71">
        <f t="shared" si="76"/>
        <v>-713</v>
      </c>
      <c r="Q150" s="35">
        <f t="shared" si="77"/>
        <v>713</v>
      </c>
      <c r="R150" s="72">
        <v>1103721</v>
      </c>
      <c r="S150" s="72">
        <f t="shared" si="78"/>
        <v>9027</v>
      </c>
      <c r="T150" s="62">
        <f t="shared" si="81"/>
        <v>9740</v>
      </c>
    </row>
    <row r="151" spans="1:20">
      <c r="A151" s="8"/>
      <c r="B151" s="9"/>
      <c r="C151" s="9"/>
      <c r="D151" s="69"/>
      <c r="E151" s="69">
        <v>123</v>
      </c>
      <c r="F151" s="136" t="s">
        <v>92</v>
      </c>
      <c r="G151" s="26">
        <v>235</v>
      </c>
      <c r="H151" s="26"/>
      <c r="I151" s="26"/>
      <c r="J151" s="105">
        <f t="shared" si="84"/>
        <v>0</v>
      </c>
      <c r="K151" s="35"/>
      <c r="L151" s="27"/>
      <c r="M151" s="92">
        <f t="shared" si="67"/>
        <v>0</v>
      </c>
      <c r="N151" s="93">
        <f t="shared" si="68"/>
        <v>0</v>
      </c>
      <c r="O151" s="70" t="e">
        <f t="shared" si="75"/>
        <v>#DIV/0!</v>
      </c>
      <c r="P151" s="71">
        <f t="shared" si="76"/>
        <v>0</v>
      </c>
      <c r="Q151" s="35">
        <f t="shared" si="77"/>
        <v>0</v>
      </c>
      <c r="R151" s="72">
        <v>1103722</v>
      </c>
      <c r="S151" s="72">
        <f t="shared" si="78"/>
        <v>235</v>
      </c>
      <c r="T151" s="62">
        <f t="shared" si="81"/>
        <v>235</v>
      </c>
    </row>
    <row r="152" spans="1:20">
      <c r="A152" s="9"/>
      <c r="B152" s="9"/>
      <c r="C152" s="9"/>
      <c r="D152" s="69"/>
      <c r="E152" s="69">
        <v>124</v>
      </c>
      <c r="F152" s="136" t="s">
        <v>93</v>
      </c>
      <c r="G152" s="26">
        <v>6378</v>
      </c>
      <c r="H152" s="26">
        <v>450</v>
      </c>
      <c r="I152" s="26">
        <v>450</v>
      </c>
      <c r="J152" s="105">
        <f t="shared" si="84"/>
        <v>450</v>
      </c>
      <c r="K152" s="35"/>
      <c r="L152" s="27">
        <v>450</v>
      </c>
      <c r="M152" s="92">
        <f t="shared" si="67"/>
        <v>450</v>
      </c>
      <c r="N152" s="93">
        <f t="shared" si="68"/>
        <v>0</v>
      </c>
      <c r="O152" s="70">
        <f t="shared" si="75"/>
        <v>100</v>
      </c>
      <c r="P152" s="71">
        <f t="shared" si="76"/>
        <v>0</v>
      </c>
      <c r="Q152" s="35">
        <f t="shared" si="77"/>
        <v>0</v>
      </c>
      <c r="R152" s="72">
        <v>1103723</v>
      </c>
      <c r="S152" s="72">
        <f t="shared" si="78"/>
        <v>5928</v>
      </c>
      <c r="T152" s="62">
        <f t="shared" si="81"/>
        <v>5928</v>
      </c>
    </row>
    <row r="153" spans="1:20" s="73" customFormat="1">
      <c r="A153" s="9"/>
      <c r="B153" s="9"/>
      <c r="C153" s="9"/>
      <c r="D153" s="69"/>
      <c r="E153" s="69">
        <v>141</v>
      </c>
      <c r="F153" s="136" t="s">
        <v>116</v>
      </c>
      <c r="G153" s="26">
        <v>20147</v>
      </c>
      <c r="H153" s="26"/>
      <c r="I153" s="26"/>
      <c r="J153" s="105">
        <f t="shared" si="84"/>
        <v>0</v>
      </c>
      <c r="K153" s="35"/>
      <c r="L153" s="27"/>
      <c r="M153" s="92">
        <f t="shared" si="67"/>
        <v>0</v>
      </c>
      <c r="N153" s="93">
        <f t="shared" si="68"/>
        <v>0</v>
      </c>
      <c r="O153" s="70" t="e">
        <f t="shared" si="75"/>
        <v>#DIV/0!</v>
      </c>
      <c r="P153" s="71">
        <f t="shared" si="76"/>
        <v>0</v>
      </c>
      <c r="Q153" s="35">
        <f t="shared" si="77"/>
        <v>0</v>
      </c>
      <c r="R153" s="72">
        <v>1103724</v>
      </c>
      <c r="S153" s="72">
        <f t="shared" si="78"/>
        <v>20147</v>
      </c>
      <c r="T153" s="62">
        <f t="shared" si="81"/>
        <v>20147</v>
      </c>
    </row>
    <row r="154" spans="1:20" ht="25.5">
      <c r="A154" s="9"/>
      <c r="B154" s="9"/>
      <c r="C154" s="9"/>
      <c r="D154" s="69"/>
      <c r="E154" s="69">
        <v>142</v>
      </c>
      <c r="F154" s="136" t="s">
        <v>122</v>
      </c>
      <c r="G154" s="26">
        <v>2651</v>
      </c>
      <c r="H154" s="26"/>
      <c r="I154" s="26"/>
      <c r="J154" s="105">
        <f t="shared" si="84"/>
        <v>0</v>
      </c>
      <c r="K154" s="35"/>
      <c r="L154" s="27"/>
      <c r="M154" s="92">
        <f t="shared" si="67"/>
        <v>0</v>
      </c>
      <c r="N154" s="93">
        <f t="shared" si="68"/>
        <v>0</v>
      </c>
      <c r="O154" s="70" t="e">
        <f t="shared" si="75"/>
        <v>#DIV/0!</v>
      </c>
      <c r="P154" s="71">
        <f t="shared" si="76"/>
        <v>0</v>
      </c>
      <c r="Q154" s="35">
        <f t="shared" si="77"/>
        <v>0</v>
      </c>
      <c r="R154" s="72">
        <v>1103725</v>
      </c>
      <c r="S154" s="72">
        <f t="shared" si="78"/>
        <v>2651</v>
      </c>
      <c r="T154" s="62">
        <f t="shared" si="81"/>
        <v>2651</v>
      </c>
    </row>
    <row r="155" spans="1:20">
      <c r="A155" s="9"/>
      <c r="B155" s="9"/>
      <c r="C155" s="9"/>
      <c r="D155" s="69"/>
      <c r="E155" s="69">
        <v>144</v>
      </c>
      <c r="F155" s="136" t="s">
        <v>97</v>
      </c>
      <c r="G155" s="26">
        <v>1400</v>
      </c>
      <c r="H155" s="26"/>
      <c r="I155" s="26"/>
      <c r="J155" s="105">
        <f t="shared" si="84"/>
        <v>0</v>
      </c>
      <c r="K155" s="35"/>
      <c r="L155" s="27"/>
      <c r="M155" s="92">
        <f t="shared" si="67"/>
        <v>0</v>
      </c>
      <c r="N155" s="93">
        <f t="shared" si="68"/>
        <v>0</v>
      </c>
      <c r="O155" s="70" t="e">
        <f t="shared" si="75"/>
        <v>#DIV/0!</v>
      </c>
      <c r="P155" s="71">
        <f t="shared" si="76"/>
        <v>0</v>
      </c>
      <c r="Q155" s="35">
        <f t="shared" si="77"/>
        <v>0</v>
      </c>
      <c r="R155" s="72">
        <v>1103726</v>
      </c>
      <c r="S155" s="72">
        <f t="shared" si="78"/>
        <v>1400</v>
      </c>
      <c r="T155" s="62">
        <f t="shared" si="81"/>
        <v>1400</v>
      </c>
    </row>
    <row r="156" spans="1:20">
      <c r="A156" s="9"/>
      <c r="B156" s="9"/>
      <c r="C156" s="9"/>
      <c r="D156" s="69"/>
      <c r="E156" s="69">
        <v>149</v>
      </c>
      <c r="F156" s="136" t="s">
        <v>98</v>
      </c>
      <c r="G156" s="26">
        <v>9495</v>
      </c>
      <c r="H156" s="26"/>
      <c r="I156" s="26"/>
      <c r="J156" s="105">
        <f t="shared" si="84"/>
        <v>0</v>
      </c>
      <c r="K156" s="35"/>
      <c r="L156" s="27"/>
      <c r="M156" s="92">
        <f t="shared" si="67"/>
        <v>0</v>
      </c>
      <c r="N156" s="93">
        <f t="shared" si="68"/>
        <v>0</v>
      </c>
      <c r="O156" s="70" t="e">
        <f t="shared" si="75"/>
        <v>#DIV/0!</v>
      </c>
      <c r="P156" s="71">
        <f t="shared" si="76"/>
        <v>0</v>
      </c>
      <c r="Q156" s="35">
        <f t="shared" si="77"/>
        <v>0</v>
      </c>
      <c r="R156" s="72">
        <v>1103727</v>
      </c>
      <c r="S156" s="72">
        <f t="shared" si="78"/>
        <v>9495</v>
      </c>
      <c r="T156" s="62">
        <f t="shared" si="81"/>
        <v>9495</v>
      </c>
    </row>
    <row r="157" spans="1:20">
      <c r="A157" s="9"/>
      <c r="B157" s="9"/>
      <c r="C157" s="9"/>
      <c r="D157" s="69"/>
      <c r="E157" s="69">
        <v>151</v>
      </c>
      <c r="F157" s="136" t="s">
        <v>99</v>
      </c>
      <c r="G157" s="26">
        <v>17588</v>
      </c>
      <c r="H157" s="26">
        <v>1000</v>
      </c>
      <c r="I157" s="26">
        <v>1000</v>
      </c>
      <c r="J157" s="105">
        <f t="shared" si="84"/>
        <v>342.26413000000002</v>
      </c>
      <c r="K157" s="35"/>
      <c r="L157" s="27">
        <v>342.26413000000002</v>
      </c>
      <c r="M157" s="92">
        <f t="shared" si="67"/>
        <v>342.26413000000002</v>
      </c>
      <c r="N157" s="93">
        <f t="shared" si="68"/>
        <v>657.73586999999998</v>
      </c>
      <c r="O157" s="70">
        <f t="shared" si="75"/>
        <v>34.226413000000001</v>
      </c>
      <c r="P157" s="71">
        <f t="shared" si="76"/>
        <v>0</v>
      </c>
      <c r="Q157" s="35">
        <f t="shared" si="77"/>
        <v>657.73586999999998</v>
      </c>
      <c r="R157" s="72">
        <v>1103728</v>
      </c>
      <c r="S157" s="72">
        <f t="shared" si="78"/>
        <v>17245.73587</v>
      </c>
      <c r="T157" s="62">
        <f t="shared" si="81"/>
        <v>17245.73587</v>
      </c>
    </row>
    <row r="158" spans="1:20">
      <c r="A158" s="9"/>
      <c r="B158" s="9"/>
      <c r="C158" s="9"/>
      <c r="D158" s="69"/>
      <c r="E158" s="69">
        <v>152</v>
      </c>
      <c r="F158" s="136" t="s">
        <v>100</v>
      </c>
      <c r="G158" s="26">
        <v>1401</v>
      </c>
      <c r="H158" s="26"/>
      <c r="I158" s="26"/>
      <c r="J158" s="105">
        <f t="shared" si="84"/>
        <v>0</v>
      </c>
      <c r="K158" s="35"/>
      <c r="L158" s="27"/>
      <c r="M158" s="92">
        <f t="shared" si="67"/>
        <v>0</v>
      </c>
      <c r="N158" s="93">
        <f t="shared" si="68"/>
        <v>0</v>
      </c>
      <c r="O158" s="70" t="e">
        <f t="shared" si="75"/>
        <v>#DIV/0!</v>
      </c>
      <c r="P158" s="71">
        <f t="shared" si="76"/>
        <v>0</v>
      </c>
      <c r="Q158" s="35">
        <f t="shared" si="77"/>
        <v>0</v>
      </c>
      <c r="R158" s="72">
        <v>1103729</v>
      </c>
      <c r="S158" s="72">
        <f t="shared" si="78"/>
        <v>1401</v>
      </c>
      <c r="T158" s="62">
        <f t="shared" si="81"/>
        <v>1401</v>
      </c>
    </row>
    <row r="159" spans="1:20" ht="25.5">
      <c r="A159" s="9"/>
      <c r="B159" s="9"/>
      <c r="C159" s="9"/>
      <c r="D159" s="69"/>
      <c r="E159" s="69">
        <v>158</v>
      </c>
      <c r="F159" s="136" t="s">
        <v>101</v>
      </c>
      <c r="G159" s="26">
        <v>730</v>
      </c>
      <c r="H159" s="26"/>
      <c r="I159" s="26"/>
      <c r="J159" s="105">
        <f t="shared" si="84"/>
        <v>0</v>
      </c>
      <c r="K159" s="35"/>
      <c r="L159" s="27"/>
      <c r="M159" s="92">
        <f t="shared" si="67"/>
        <v>0</v>
      </c>
      <c r="N159" s="93">
        <f t="shared" si="68"/>
        <v>0</v>
      </c>
      <c r="O159" s="70" t="e">
        <f t="shared" si="75"/>
        <v>#DIV/0!</v>
      </c>
      <c r="P159" s="71">
        <f t="shared" si="76"/>
        <v>0</v>
      </c>
      <c r="Q159" s="35">
        <f t="shared" si="77"/>
        <v>0</v>
      </c>
      <c r="R159" s="72">
        <v>1103730</v>
      </c>
      <c r="S159" s="72">
        <f t="shared" si="78"/>
        <v>730</v>
      </c>
      <c r="T159" s="62">
        <f t="shared" si="81"/>
        <v>730</v>
      </c>
    </row>
    <row r="160" spans="1:20">
      <c r="A160" s="9"/>
      <c r="B160" s="9"/>
      <c r="C160" s="9"/>
      <c r="D160" s="69"/>
      <c r="E160" s="69">
        <v>159</v>
      </c>
      <c r="F160" s="136" t="s">
        <v>84</v>
      </c>
      <c r="G160" s="26">
        <v>6564</v>
      </c>
      <c r="H160" s="26"/>
      <c r="I160" s="26"/>
      <c r="J160" s="105">
        <f t="shared" si="84"/>
        <v>0</v>
      </c>
      <c r="K160" s="35"/>
      <c r="L160" s="27"/>
      <c r="M160" s="92">
        <f t="shared" si="67"/>
        <v>0</v>
      </c>
      <c r="N160" s="93">
        <f t="shared" si="68"/>
        <v>0</v>
      </c>
      <c r="O160" s="70" t="e">
        <f t="shared" si="75"/>
        <v>#DIV/0!</v>
      </c>
      <c r="P160" s="71">
        <f t="shared" si="76"/>
        <v>0</v>
      </c>
      <c r="Q160" s="35">
        <f t="shared" si="77"/>
        <v>0</v>
      </c>
      <c r="R160" s="72">
        <v>1103731</v>
      </c>
      <c r="S160" s="72">
        <f t="shared" si="78"/>
        <v>6564</v>
      </c>
      <c r="T160" s="62">
        <f t="shared" si="81"/>
        <v>6564</v>
      </c>
    </row>
    <row r="161" spans="1:21">
      <c r="A161" s="9"/>
      <c r="B161" s="9"/>
      <c r="C161" s="9"/>
      <c r="D161" s="69"/>
      <c r="E161" s="69">
        <v>161</v>
      </c>
      <c r="F161" s="136" t="s">
        <v>102</v>
      </c>
      <c r="G161" s="26">
        <v>816</v>
      </c>
      <c r="H161" s="26"/>
      <c r="I161" s="26"/>
      <c r="J161" s="105">
        <f t="shared" si="84"/>
        <v>0</v>
      </c>
      <c r="K161" s="35"/>
      <c r="L161" s="27"/>
      <c r="M161" s="92">
        <f t="shared" si="67"/>
        <v>0</v>
      </c>
      <c r="N161" s="93">
        <f t="shared" si="68"/>
        <v>0</v>
      </c>
      <c r="O161" s="70" t="e">
        <f t="shared" si="75"/>
        <v>#DIV/0!</v>
      </c>
      <c r="P161" s="71">
        <f t="shared" si="76"/>
        <v>0</v>
      </c>
      <c r="Q161" s="35">
        <f t="shared" si="77"/>
        <v>0</v>
      </c>
      <c r="R161" s="72">
        <v>1103732</v>
      </c>
      <c r="S161" s="72">
        <f t="shared" si="78"/>
        <v>816</v>
      </c>
      <c r="T161" s="62">
        <f t="shared" si="81"/>
        <v>816</v>
      </c>
    </row>
    <row r="162" spans="1:21">
      <c r="A162" s="9"/>
      <c r="B162" s="9"/>
      <c r="C162" s="9"/>
      <c r="D162" s="69"/>
      <c r="E162" s="69">
        <v>169</v>
      </c>
      <c r="F162" s="136" t="s">
        <v>103</v>
      </c>
      <c r="G162" s="26">
        <v>20</v>
      </c>
      <c r="H162" s="26"/>
      <c r="I162" s="26"/>
      <c r="J162" s="105">
        <f t="shared" si="84"/>
        <v>0</v>
      </c>
      <c r="K162" s="35"/>
      <c r="L162" s="27"/>
      <c r="M162" s="92">
        <f>K162+L162</f>
        <v>0</v>
      </c>
      <c r="N162" s="93">
        <f t="shared" si="68"/>
        <v>0</v>
      </c>
      <c r="O162" s="70" t="e">
        <f t="shared" si="75"/>
        <v>#DIV/0!</v>
      </c>
      <c r="P162" s="71">
        <f t="shared" si="76"/>
        <v>0</v>
      </c>
      <c r="Q162" s="35">
        <f t="shared" si="77"/>
        <v>0</v>
      </c>
      <c r="R162" s="72">
        <v>1103733</v>
      </c>
      <c r="S162" s="72">
        <f t="shared" si="78"/>
        <v>20</v>
      </c>
      <c r="T162" s="62">
        <f t="shared" si="81"/>
        <v>20</v>
      </c>
    </row>
    <row r="163" spans="1:21" ht="25.5">
      <c r="A163" s="100"/>
      <c r="B163" s="15"/>
      <c r="C163" s="57" t="s">
        <v>43</v>
      </c>
      <c r="D163" s="16"/>
      <c r="E163" s="20"/>
      <c r="F163" s="139" t="s">
        <v>119</v>
      </c>
      <c r="G163" s="59">
        <f t="shared" ref="G163:N163" si="85">G164</f>
        <v>0</v>
      </c>
      <c r="H163" s="59">
        <f t="shared" si="85"/>
        <v>0</v>
      </c>
      <c r="I163" s="59">
        <f t="shared" si="85"/>
        <v>0</v>
      </c>
      <c r="J163" s="29">
        <f t="shared" si="85"/>
        <v>0</v>
      </c>
      <c r="K163" s="33">
        <f t="shared" si="85"/>
        <v>0</v>
      </c>
      <c r="L163" s="59">
        <f t="shared" si="85"/>
        <v>0</v>
      </c>
      <c r="M163" s="29">
        <f t="shared" si="85"/>
        <v>0</v>
      </c>
      <c r="N163" s="29">
        <f t="shared" si="85"/>
        <v>0</v>
      </c>
      <c r="O163" s="70"/>
      <c r="P163" s="71">
        <f t="shared" si="76"/>
        <v>0</v>
      </c>
      <c r="Q163" s="35">
        <f t="shared" si="77"/>
        <v>0</v>
      </c>
      <c r="R163" s="72">
        <v>1103734</v>
      </c>
      <c r="S163" s="72">
        <f t="shared" si="78"/>
        <v>0</v>
      </c>
    </row>
    <row r="164" spans="1:21">
      <c r="A164" s="9"/>
      <c r="B164" s="12"/>
      <c r="C164" s="12"/>
      <c r="D164" s="11" t="s">
        <v>7</v>
      </c>
      <c r="E164" s="97"/>
      <c r="F164" s="122" t="s">
        <v>85</v>
      </c>
      <c r="G164" s="98">
        <f>G165+G166+G167</f>
        <v>0</v>
      </c>
      <c r="H164" s="98">
        <f t="shared" ref="H164:M164" si="86">H165+H166+H167</f>
        <v>0</v>
      </c>
      <c r="I164" s="98">
        <f t="shared" si="86"/>
        <v>0</v>
      </c>
      <c r="J164" s="32">
        <f t="shared" si="86"/>
        <v>0</v>
      </c>
      <c r="K164" s="98">
        <f t="shared" si="86"/>
        <v>0</v>
      </c>
      <c r="L164" s="98">
        <f t="shared" si="86"/>
        <v>0</v>
      </c>
      <c r="M164" s="98">
        <f t="shared" si="86"/>
        <v>0</v>
      </c>
      <c r="N164" s="99">
        <f>N165+N166+N167</f>
        <v>0</v>
      </c>
      <c r="O164" s="68" t="e">
        <f>M164/I164*100</f>
        <v>#DIV/0!</v>
      </c>
      <c r="P164" s="71">
        <f t="shared" si="76"/>
        <v>0</v>
      </c>
      <c r="Q164" s="35">
        <f t="shared" si="77"/>
        <v>0</v>
      </c>
      <c r="R164" s="72">
        <v>1103735</v>
      </c>
      <c r="S164" s="72">
        <f t="shared" si="78"/>
        <v>0</v>
      </c>
      <c r="T164" s="62">
        <f>G164-J164</f>
        <v>0</v>
      </c>
    </row>
    <row r="165" spans="1:21">
      <c r="A165" s="9"/>
      <c r="B165" s="13"/>
      <c r="C165" s="13"/>
      <c r="D165" s="14"/>
      <c r="E165" s="20">
        <v>413</v>
      </c>
      <c r="F165" s="78" t="s">
        <v>152</v>
      </c>
      <c r="G165" s="34"/>
      <c r="H165" s="34"/>
      <c r="I165" s="34"/>
      <c r="J165" s="107">
        <f>M165</f>
        <v>0</v>
      </c>
      <c r="K165" s="35"/>
      <c r="L165" s="34"/>
      <c r="M165" s="92">
        <f t="shared" ref="M165:M167" si="87">K165+L165</f>
        <v>0</v>
      </c>
      <c r="N165" s="93">
        <f t="shared" ref="N165:N167" si="88">I165-M165</f>
        <v>0</v>
      </c>
      <c r="O165" s="70"/>
      <c r="P165" s="71">
        <f t="shared" si="76"/>
        <v>0</v>
      </c>
      <c r="Q165" s="35">
        <f t="shared" si="77"/>
        <v>0</v>
      </c>
      <c r="R165" s="72">
        <v>1103736</v>
      </c>
      <c r="S165" s="72">
        <f t="shared" si="78"/>
        <v>0</v>
      </c>
    </row>
    <row r="166" spans="1:21" ht="25.5">
      <c r="A166" s="9"/>
      <c r="B166" s="13"/>
      <c r="C166" s="13"/>
      <c r="D166" s="14"/>
      <c r="E166" s="20">
        <v>414</v>
      </c>
      <c r="F166" s="50" t="s">
        <v>105</v>
      </c>
      <c r="G166" s="37"/>
      <c r="H166" s="37"/>
      <c r="I166" s="37"/>
      <c r="J166" s="107">
        <f t="shared" ref="J166:J167" si="89">M166</f>
        <v>0</v>
      </c>
      <c r="K166" s="35"/>
      <c r="L166" s="37"/>
      <c r="M166" s="92">
        <f t="shared" si="87"/>
        <v>0</v>
      </c>
      <c r="N166" s="93">
        <f t="shared" si="88"/>
        <v>0</v>
      </c>
      <c r="O166" s="70"/>
      <c r="P166" s="71">
        <f t="shared" si="76"/>
        <v>0</v>
      </c>
      <c r="Q166" s="35">
        <f t="shared" si="77"/>
        <v>0</v>
      </c>
      <c r="R166" s="72">
        <v>1103737</v>
      </c>
      <c r="S166" s="72">
        <f t="shared" si="78"/>
        <v>0</v>
      </c>
    </row>
    <row r="167" spans="1:21" ht="25.5">
      <c r="A167" s="100"/>
      <c r="B167" s="15"/>
      <c r="C167" s="15"/>
      <c r="D167" s="16"/>
      <c r="E167" s="20">
        <v>421</v>
      </c>
      <c r="F167" s="136" t="s">
        <v>156</v>
      </c>
      <c r="G167" s="37"/>
      <c r="H167" s="37"/>
      <c r="I167" s="37"/>
      <c r="J167" s="107">
        <f t="shared" si="89"/>
        <v>0</v>
      </c>
      <c r="K167" s="35"/>
      <c r="L167" s="35"/>
      <c r="M167" s="92">
        <f t="shared" si="87"/>
        <v>0</v>
      </c>
      <c r="N167" s="93">
        <f t="shared" si="88"/>
        <v>0</v>
      </c>
      <c r="O167" s="70" t="e">
        <f t="shared" ref="O167" si="90">M167/I167*100</f>
        <v>#DIV/0!</v>
      </c>
      <c r="P167" s="71">
        <f t="shared" si="76"/>
        <v>0</v>
      </c>
      <c r="Q167" s="35">
        <f t="shared" si="77"/>
        <v>0</v>
      </c>
      <c r="R167" s="72">
        <v>1103738</v>
      </c>
      <c r="S167" s="72">
        <f t="shared" si="78"/>
        <v>0</v>
      </c>
    </row>
    <row r="168" spans="1:21" s="112" customFormat="1" ht="13.5">
      <c r="A168" s="8"/>
      <c r="B168" s="57">
        <v>1265</v>
      </c>
      <c r="C168" s="12"/>
      <c r="D168" s="11"/>
      <c r="E168" s="18"/>
      <c r="F168" s="139" t="s">
        <v>123</v>
      </c>
      <c r="G168" s="42">
        <f>G169+G188</f>
        <v>1298876</v>
      </c>
      <c r="H168" s="42">
        <f t="shared" ref="H168:N168" si="91">H169+H188</f>
        <v>48674</v>
      </c>
      <c r="I168" s="42">
        <f t="shared" si="91"/>
        <v>48674</v>
      </c>
      <c r="J168" s="33">
        <f t="shared" si="91"/>
        <v>48654.000999999997</v>
      </c>
      <c r="K168" s="42">
        <f t="shared" si="91"/>
        <v>0</v>
      </c>
      <c r="L168" s="42">
        <f t="shared" si="91"/>
        <v>48654.000999999997</v>
      </c>
      <c r="M168" s="33">
        <f t="shared" si="91"/>
        <v>48654.000999999997</v>
      </c>
      <c r="N168" s="29">
        <f t="shared" si="91"/>
        <v>19.998999999999796</v>
      </c>
      <c r="O168" s="68">
        <f t="shared" si="75"/>
        <v>99.958912355672425</v>
      </c>
      <c r="P168" s="71">
        <f t="shared" si="76"/>
        <v>0</v>
      </c>
      <c r="Q168" s="35">
        <f t="shared" si="77"/>
        <v>19.999000000003434</v>
      </c>
      <c r="R168" s="72">
        <v>1103739</v>
      </c>
      <c r="S168" s="72">
        <f t="shared" si="78"/>
        <v>1250221.9990000001</v>
      </c>
      <c r="T168" s="62">
        <f t="shared" si="81"/>
        <v>1250221.9990000001</v>
      </c>
      <c r="U168" s="95"/>
    </row>
    <row r="169" spans="1:21" ht="68.25" customHeight="1">
      <c r="A169" s="8"/>
      <c r="B169" s="12"/>
      <c r="C169" s="12" t="s">
        <v>23</v>
      </c>
      <c r="D169" s="11"/>
      <c r="E169" s="18"/>
      <c r="F169" s="139" t="s">
        <v>124</v>
      </c>
      <c r="G169" s="42">
        <f>G170</f>
        <v>947947</v>
      </c>
      <c r="H169" s="42">
        <f t="shared" ref="H169:N169" si="92">H170</f>
        <v>48674</v>
      </c>
      <c r="I169" s="42">
        <f t="shared" si="92"/>
        <v>48674</v>
      </c>
      <c r="J169" s="33">
        <f t="shared" si="92"/>
        <v>48654.000999999997</v>
      </c>
      <c r="K169" s="42">
        <f t="shared" si="92"/>
        <v>0</v>
      </c>
      <c r="L169" s="42">
        <f t="shared" si="92"/>
        <v>48654.000999999997</v>
      </c>
      <c r="M169" s="33">
        <f t="shared" si="92"/>
        <v>48654.000999999997</v>
      </c>
      <c r="N169" s="29">
        <f t="shared" si="92"/>
        <v>19.998999999999796</v>
      </c>
      <c r="O169" s="66">
        <f t="shared" si="75"/>
        <v>99.958912355672425</v>
      </c>
      <c r="P169" s="71">
        <f t="shared" si="76"/>
        <v>0</v>
      </c>
      <c r="Q169" s="35">
        <f t="shared" si="77"/>
        <v>19.999000000003434</v>
      </c>
      <c r="R169" s="72">
        <v>1103740</v>
      </c>
      <c r="S169" s="72">
        <f t="shared" si="78"/>
        <v>899292.99899999995</v>
      </c>
      <c r="T169" s="62">
        <f t="shared" si="81"/>
        <v>899292.99899999995</v>
      </c>
    </row>
    <row r="170" spans="1:21">
      <c r="A170" s="9"/>
      <c r="B170" s="12"/>
      <c r="C170" s="12"/>
      <c r="D170" s="11" t="s">
        <v>7</v>
      </c>
      <c r="E170" s="97"/>
      <c r="F170" s="140" t="s">
        <v>85</v>
      </c>
      <c r="G170" s="98">
        <f t="shared" ref="G170:N170" si="93">SUM(G171:G187)</f>
        <v>947947</v>
      </c>
      <c r="H170" s="98">
        <f t="shared" si="93"/>
        <v>48674</v>
      </c>
      <c r="I170" s="98">
        <f t="shared" si="93"/>
        <v>48674</v>
      </c>
      <c r="J170" s="32">
        <f>SUM(J171:J187)</f>
        <v>48654.000999999997</v>
      </c>
      <c r="K170" s="32">
        <f t="shared" si="93"/>
        <v>0</v>
      </c>
      <c r="L170" s="32">
        <f t="shared" si="93"/>
        <v>48654.000999999997</v>
      </c>
      <c r="M170" s="32">
        <f t="shared" si="93"/>
        <v>48654.000999999997</v>
      </c>
      <c r="N170" s="32">
        <f t="shared" si="93"/>
        <v>19.998999999999796</v>
      </c>
      <c r="O170" s="68">
        <f t="shared" si="75"/>
        <v>99.958912355672425</v>
      </c>
      <c r="P170" s="71">
        <f t="shared" si="76"/>
        <v>0</v>
      </c>
      <c r="Q170" s="35">
        <f t="shared" si="77"/>
        <v>19.999000000003434</v>
      </c>
      <c r="R170" s="72">
        <v>1103741</v>
      </c>
      <c r="S170" s="72">
        <f t="shared" si="78"/>
        <v>899292.99899999995</v>
      </c>
      <c r="T170" s="62">
        <f t="shared" si="81"/>
        <v>899292.99899999995</v>
      </c>
    </row>
    <row r="171" spans="1:21">
      <c r="A171" s="9"/>
      <c r="B171" s="13"/>
      <c r="C171" s="13"/>
      <c r="D171" s="14"/>
      <c r="E171" s="20">
        <v>111</v>
      </c>
      <c r="F171" s="136" t="s">
        <v>86</v>
      </c>
      <c r="G171" s="37">
        <v>618499</v>
      </c>
      <c r="H171" s="37">
        <v>40000</v>
      </c>
      <c r="I171" s="37">
        <v>40000</v>
      </c>
      <c r="J171" s="75">
        <f>M171</f>
        <v>40000</v>
      </c>
      <c r="K171" s="35"/>
      <c r="L171" s="35">
        <v>40000</v>
      </c>
      <c r="M171" s="92">
        <f>K171+L171</f>
        <v>40000</v>
      </c>
      <c r="N171" s="93">
        <f>I171-M171</f>
        <v>0</v>
      </c>
      <c r="O171" s="70">
        <f t="shared" si="75"/>
        <v>100</v>
      </c>
      <c r="P171" s="71">
        <f t="shared" si="76"/>
        <v>0</v>
      </c>
      <c r="Q171" s="35">
        <f t="shared" si="77"/>
        <v>0</v>
      </c>
      <c r="R171" s="72">
        <v>1103742</v>
      </c>
      <c r="S171" s="72">
        <f t="shared" si="78"/>
        <v>578499</v>
      </c>
      <c r="T171" s="62">
        <f t="shared" si="81"/>
        <v>578499</v>
      </c>
    </row>
    <row r="172" spans="1:21">
      <c r="A172" s="9"/>
      <c r="B172" s="13"/>
      <c r="C172" s="13"/>
      <c r="D172" s="14"/>
      <c r="E172" s="69">
        <v>112</v>
      </c>
      <c r="F172" s="136" t="s">
        <v>87</v>
      </c>
      <c r="G172" s="37"/>
      <c r="H172" s="37"/>
      <c r="I172" s="37"/>
      <c r="J172" s="75">
        <f t="shared" ref="J172:J187" si="94">M172</f>
        <v>0</v>
      </c>
      <c r="K172" s="35"/>
      <c r="L172" s="35"/>
      <c r="M172" s="92">
        <f>K172+L172</f>
        <v>0</v>
      </c>
      <c r="N172" s="93">
        <f t="shared" ref="N172:N173" si="95">I172-M172</f>
        <v>0</v>
      </c>
      <c r="O172" s="70" t="e">
        <f t="shared" si="75"/>
        <v>#DIV/0!</v>
      </c>
      <c r="P172" s="71">
        <f t="shared" si="76"/>
        <v>0</v>
      </c>
      <c r="Q172" s="35">
        <f t="shared" si="77"/>
        <v>0</v>
      </c>
      <c r="R172" s="72">
        <v>1103743</v>
      </c>
      <c r="S172" s="72">
        <f t="shared" si="78"/>
        <v>0</v>
      </c>
    </row>
    <row r="173" spans="1:21">
      <c r="A173" s="9"/>
      <c r="B173" s="15"/>
      <c r="C173" s="15"/>
      <c r="D173" s="16"/>
      <c r="E173" s="20">
        <v>113</v>
      </c>
      <c r="F173" s="136" t="s">
        <v>88</v>
      </c>
      <c r="G173" s="37">
        <v>19771</v>
      </c>
      <c r="H173" s="37">
        <v>274</v>
      </c>
      <c r="I173" s="37">
        <v>274</v>
      </c>
      <c r="J173" s="75">
        <f t="shared" si="94"/>
        <v>273.596</v>
      </c>
      <c r="K173" s="35"/>
      <c r="L173" s="35">
        <v>273.596</v>
      </c>
      <c r="M173" s="92">
        <f t="shared" si="67"/>
        <v>273.596</v>
      </c>
      <c r="N173" s="93">
        <f t="shared" si="95"/>
        <v>0.40399999999999636</v>
      </c>
      <c r="O173" s="70">
        <f t="shared" si="75"/>
        <v>99.852554744525548</v>
      </c>
      <c r="P173" s="71">
        <f t="shared" si="76"/>
        <v>0</v>
      </c>
      <c r="Q173" s="35">
        <f t="shared" si="77"/>
        <v>0.40399999999999636</v>
      </c>
      <c r="R173" s="72">
        <v>1103744</v>
      </c>
      <c r="S173" s="72">
        <f t="shared" si="78"/>
        <v>19497.403999999999</v>
      </c>
      <c r="T173" s="62">
        <f t="shared" si="81"/>
        <v>19497.403999999999</v>
      </c>
    </row>
    <row r="174" spans="1:21">
      <c r="A174" s="9"/>
      <c r="B174" s="15"/>
      <c r="C174" s="15"/>
      <c r="D174" s="16"/>
      <c r="E174" s="69">
        <v>116</v>
      </c>
      <c r="F174" s="136" t="s">
        <v>89</v>
      </c>
      <c r="G174" s="37">
        <v>10353</v>
      </c>
      <c r="H174" s="37">
        <v>800</v>
      </c>
      <c r="I174" s="37">
        <v>800</v>
      </c>
      <c r="J174" s="75">
        <f t="shared" si="94"/>
        <v>794.25800000000004</v>
      </c>
      <c r="K174" s="35"/>
      <c r="L174" s="35">
        <v>794.25800000000004</v>
      </c>
      <c r="M174" s="92">
        <f>K174+L174</f>
        <v>794.25800000000004</v>
      </c>
      <c r="N174" s="93">
        <f>I174-M174</f>
        <v>5.7419999999999618</v>
      </c>
      <c r="O174" s="70">
        <f>M174/I174*100</f>
        <v>99.282250000000005</v>
      </c>
      <c r="P174" s="71">
        <f t="shared" si="76"/>
        <v>0</v>
      </c>
      <c r="Q174" s="35">
        <f t="shared" si="77"/>
        <v>5.7419999999999618</v>
      </c>
      <c r="R174" s="72">
        <v>1103745</v>
      </c>
      <c r="S174" s="72">
        <f t="shared" si="78"/>
        <v>9558.7420000000002</v>
      </c>
    </row>
    <row r="175" spans="1:21">
      <c r="A175" s="9"/>
      <c r="B175" s="15"/>
      <c r="C175" s="15"/>
      <c r="D175" s="16"/>
      <c r="E175" s="20">
        <v>121</v>
      </c>
      <c r="F175" s="136" t="s">
        <v>90</v>
      </c>
      <c r="G175" s="37">
        <v>32039</v>
      </c>
      <c r="H175" s="37">
        <v>2600</v>
      </c>
      <c r="I175" s="37">
        <v>2600</v>
      </c>
      <c r="J175" s="75">
        <f t="shared" si="94"/>
        <v>2600</v>
      </c>
      <c r="K175" s="35"/>
      <c r="L175" s="35">
        <v>2600</v>
      </c>
      <c r="M175" s="92">
        <f>K175+L175</f>
        <v>2600</v>
      </c>
      <c r="N175" s="93">
        <f>I175-M175</f>
        <v>0</v>
      </c>
      <c r="O175" s="70">
        <f>M175/I175*100</f>
        <v>100</v>
      </c>
      <c r="P175" s="71">
        <f t="shared" si="76"/>
        <v>0</v>
      </c>
      <c r="Q175" s="35">
        <f t="shared" si="77"/>
        <v>0</v>
      </c>
      <c r="R175" s="72">
        <v>1103746</v>
      </c>
      <c r="S175" s="72">
        <f t="shared" si="78"/>
        <v>29439</v>
      </c>
      <c r="T175" s="62">
        <f t="shared" si="81"/>
        <v>29439</v>
      </c>
    </row>
    <row r="176" spans="1:21" ht="25.5">
      <c r="A176" s="9"/>
      <c r="B176" s="15"/>
      <c r="C176" s="15"/>
      <c r="D176" s="16"/>
      <c r="E176" s="20">
        <v>122</v>
      </c>
      <c r="F176" s="136" t="s">
        <v>91</v>
      </c>
      <c r="G176" s="37">
        <v>27832</v>
      </c>
      <c r="H176" s="37">
        <v>2000</v>
      </c>
      <c r="I176" s="37">
        <v>2000</v>
      </c>
      <c r="J176" s="75">
        <f t="shared" si="94"/>
        <v>1999.9090000000001</v>
      </c>
      <c r="K176" s="35"/>
      <c r="L176" s="35">
        <v>1999.9090000000001</v>
      </c>
      <c r="M176" s="92">
        <f t="shared" si="67"/>
        <v>1999.9090000000001</v>
      </c>
      <c r="N176" s="93">
        <f t="shared" si="68"/>
        <v>9.0999999999894499E-2</v>
      </c>
      <c r="O176" s="70">
        <f t="shared" si="75"/>
        <v>99.995450000000005</v>
      </c>
      <c r="P176" s="71">
        <f t="shared" si="76"/>
        <v>0</v>
      </c>
      <c r="Q176" s="35">
        <f t="shared" si="77"/>
        <v>9.0999999999894499E-2</v>
      </c>
      <c r="R176" s="72">
        <v>1103747</v>
      </c>
      <c r="S176" s="72">
        <f t="shared" si="78"/>
        <v>25832.091</v>
      </c>
      <c r="T176" s="62">
        <f t="shared" si="81"/>
        <v>25832.091</v>
      </c>
    </row>
    <row r="177" spans="1:21">
      <c r="A177" s="9"/>
      <c r="B177" s="15"/>
      <c r="C177" s="15"/>
      <c r="D177" s="16"/>
      <c r="E177" s="20">
        <v>123</v>
      </c>
      <c r="F177" s="136" t="s">
        <v>92</v>
      </c>
      <c r="G177" s="37">
        <v>168</v>
      </c>
      <c r="H177" s="37"/>
      <c r="I177" s="37"/>
      <c r="J177" s="75">
        <f t="shared" si="94"/>
        <v>0</v>
      </c>
      <c r="K177" s="35"/>
      <c r="L177" s="35"/>
      <c r="M177" s="92">
        <f t="shared" si="67"/>
        <v>0</v>
      </c>
      <c r="N177" s="93">
        <f t="shared" si="68"/>
        <v>0</v>
      </c>
      <c r="O177" s="70" t="e">
        <f t="shared" si="75"/>
        <v>#DIV/0!</v>
      </c>
      <c r="P177" s="71">
        <f t="shared" si="76"/>
        <v>0</v>
      </c>
      <c r="Q177" s="35">
        <f t="shared" si="77"/>
        <v>0</v>
      </c>
      <c r="R177" s="72">
        <v>1103748</v>
      </c>
      <c r="S177" s="72">
        <f t="shared" si="78"/>
        <v>168</v>
      </c>
      <c r="T177" s="62">
        <f t="shared" si="81"/>
        <v>168</v>
      </c>
    </row>
    <row r="178" spans="1:21">
      <c r="A178" s="9"/>
      <c r="B178" s="15"/>
      <c r="C178" s="15"/>
      <c r="D178" s="16"/>
      <c r="E178" s="20">
        <v>124</v>
      </c>
      <c r="F178" s="136" t="s">
        <v>93</v>
      </c>
      <c r="G178" s="37">
        <v>15607</v>
      </c>
      <c r="H178" s="37">
        <v>1000</v>
      </c>
      <c r="I178" s="37">
        <v>1000</v>
      </c>
      <c r="J178" s="75">
        <f t="shared" si="94"/>
        <v>986.23800000000006</v>
      </c>
      <c r="K178" s="35"/>
      <c r="L178" s="35">
        <v>986.23800000000006</v>
      </c>
      <c r="M178" s="93">
        <f t="shared" si="67"/>
        <v>986.23800000000006</v>
      </c>
      <c r="N178" s="93">
        <f t="shared" si="68"/>
        <v>13.761999999999944</v>
      </c>
      <c r="O178" s="70">
        <f t="shared" si="75"/>
        <v>98.623800000000003</v>
      </c>
      <c r="P178" s="71">
        <f t="shared" si="76"/>
        <v>0</v>
      </c>
      <c r="Q178" s="35">
        <f t="shared" si="77"/>
        <v>13.761999999999944</v>
      </c>
      <c r="R178" s="72">
        <v>1103749</v>
      </c>
      <c r="S178" s="72">
        <f t="shared" si="78"/>
        <v>14620.762000000001</v>
      </c>
      <c r="T178" s="62">
        <f t="shared" si="81"/>
        <v>14620.762000000001</v>
      </c>
    </row>
    <row r="179" spans="1:21" s="73" customFormat="1">
      <c r="A179" s="9"/>
      <c r="B179" s="15"/>
      <c r="C179" s="15"/>
      <c r="D179" s="16"/>
      <c r="E179" s="20">
        <v>141</v>
      </c>
      <c r="F179" s="136" t="s">
        <v>116</v>
      </c>
      <c r="G179" s="37">
        <v>170896</v>
      </c>
      <c r="H179" s="37">
        <v>0</v>
      </c>
      <c r="I179" s="37">
        <v>0</v>
      </c>
      <c r="J179" s="75">
        <f t="shared" si="94"/>
        <v>0</v>
      </c>
      <c r="K179" s="35"/>
      <c r="L179" s="35"/>
      <c r="M179" s="92">
        <f t="shared" si="67"/>
        <v>0</v>
      </c>
      <c r="N179" s="93">
        <f t="shared" si="68"/>
        <v>0</v>
      </c>
      <c r="O179" s="70" t="e">
        <f t="shared" si="75"/>
        <v>#DIV/0!</v>
      </c>
      <c r="P179" s="71">
        <f t="shared" si="76"/>
        <v>0</v>
      </c>
      <c r="Q179" s="35">
        <f t="shared" si="77"/>
        <v>0</v>
      </c>
      <c r="R179" s="72">
        <v>1103750</v>
      </c>
      <c r="S179" s="72">
        <f t="shared" si="78"/>
        <v>170896</v>
      </c>
      <c r="T179" s="62">
        <f t="shared" si="81"/>
        <v>170896</v>
      </c>
    </row>
    <row r="180" spans="1:21">
      <c r="A180" s="9"/>
      <c r="B180" s="15"/>
      <c r="C180" s="15"/>
      <c r="D180" s="16"/>
      <c r="E180" s="20">
        <v>144</v>
      </c>
      <c r="F180" s="136" t="s">
        <v>97</v>
      </c>
      <c r="G180" s="37">
        <v>4041</v>
      </c>
      <c r="H180" s="37"/>
      <c r="I180" s="37"/>
      <c r="J180" s="75">
        <f t="shared" si="94"/>
        <v>0</v>
      </c>
      <c r="K180" s="35"/>
      <c r="L180" s="35"/>
      <c r="M180" s="92">
        <f t="shared" si="67"/>
        <v>0</v>
      </c>
      <c r="N180" s="93">
        <f t="shared" si="68"/>
        <v>0</v>
      </c>
      <c r="O180" s="70" t="e">
        <f t="shared" si="75"/>
        <v>#DIV/0!</v>
      </c>
      <c r="P180" s="71">
        <f t="shared" si="76"/>
        <v>0</v>
      </c>
      <c r="Q180" s="35">
        <f t="shared" si="77"/>
        <v>0</v>
      </c>
      <c r="R180" s="72">
        <v>1103751</v>
      </c>
      <c r="S180" s="72">
        <f t="shared" si="78"/>
        <v>4041</v>
      </c>
      <c r="T180" s="62">
        <f t="shared" si="81"/>
        <v>4041</v>
      </c>
    </row>
    <row r="181" spans="1:21">
      <c r="A181" s="100"/>
      <c r="B181" s="15"/>
      <c r="C181" s="15"/>
      <c r="D181" s="16"/>
      <c r="E181" s="20">
        <v>149</v>
      </c>
      <c r="F181" s="136" t="s">
        <v>98</v>
      </c>
      <c r="G181" s="37">
        <v>3715</v>
      </c>
      <c r="H181" s="37"/>
      <c r="I181" s="37"/>
      <c r="J181" s="75">
        <f t="shared" si="94"/>
        <v>0</v>
      </c>
      <c r="K181" s="35"/>
      <c r="L181" s="35"/>
      <c r="M181" s="92">
        <f t="shared" si="67"/>
        <v>0</v>
      </c>
      <c r="N181" s="93">
        <f t="shared" si="68"/>
        <v>0</v>
      </c>
      <c r="O181" s="70" t="e">
        <f t="shared" si="75"/>
        <v>#DIV/0!</v>
      </c>
      <c r="P181" s="71">
        <f t="shared" si="76"/>
        <v>0</v>
      </c>
      <c r="Q181" s="35">
        <f t="shared" si="77"/>
        <v>0</v>
      </c>
      <c r="R181" s="72">
        <v>1103752</v>
      </c>
      <c r="S181" s="72">
        <f t="shared" si="78"/>
        <v>3715</v>
      </c>
      <c r="T181" s="62">
        <f t="shared" si="81"/>
        <v>3715</v>
      </c>
    </row>
    <row r="182" spans="1:21">
      <c r="A182" s="100"/>
      <c r="B182" s="15"/>
      <c r="C182" s="15"/>
      <c r="D182" s="16"/>
      <c r="E182" s="20">
        <v>151</v>
      </c>
      <c r="F182" s="136" t="s">
        <v>99</v>
      </c>
      <c r="G182" s="37">
        <v>35085</v>
      </c>
      <c r="H182" s="37">
        <v>2000</v>
      </c>
      <c r="I182" s="37">
        <v>2000</v>
      </c>
      <c r="J182" s="75">
        <f t="shared" si="94"/>
        <v>2000</v>
      </c>
      <c r="K182" s="35"/>
      <c r="L182" s="35">
        <v>2000</v>
      </c>
      <c r="M182" s="92">
        <f t="shared" ref="M182:M187" si="96">K182+L182</f>
        <v>2000</v>
      </c>
      <c r="N182" s="93">
        <f t="shared" ref="N182:N212" si="97">I182-M182</f>
        <v>0</v>
      </c>
      <c r="O182" s="70">
        <f t="shared" si="75"/>
        <v>100</v>
      </c>
      <c r="P182" s="71">
        <f t="shared" si="76"/>
        <v>0</v>
      </c>
      <c r="Q182" s="35">
        <f t="shared" si="77"/>
        <v>0</v>
      </c>
      <c r="R182" s="72">
        <v>1103753</v>
      </c>
      <c r="S182" s="72">
        <f t="shared" si="78"/>
        <v>33085</v>
      </c>
      <c r="T182" s="62">
        <f t="shared" si="81"/>
        <v>33085</v>
      </c>
    </row>
    <row r="183" spans="1:21">
      <c r="A183" s="100"/>
      <c r="B183" s="15"/>
      <c r="C183" s="15"/>
      <c r="D183" s="16"/>
      <c r="E183" s="20">
        <v>152</v>
      </c>
      <c r="F183" s="136" t="s">
        <v>100</v>
      </c>
      <c r="G183" s="37">
        <v>1374</v>
      </c>
      <c r="H183" s="37"/>
      <c r="I183" s="37"/>
      <c r="J183" s="75">
        <f t="shared" si="94"/>
        <v>0</v>
      </c>
      <c r="K183" s="35"/>
      <c r="L183" s="35"/>
      <c r="M183" s="92">
        <f t="shared" si="96"/>
        <v>0</v>
      </c>
      <c r="N183" s="101">
        <f t="shared" si="97"/>
        <v>0</v>
      </c>
      <c r="O183" s="70" t="e">
        <f t="shared" si="75"/>
        <v>#DIV/0!</v>
      </c>
      <c r="P183" s="71">
        <f t="shared" si="76"/>
        <v>0</v>
      </c>
      <c r="Q183" s="35">
        <f t="shared" si="77"/>
        <v>0</v>
      </c>
      <c r="R183" s="72">
        <v>1103754</v>
      </c>
      <c r="S183" s="72">
        <f t="shared" si="78"/>
        <v>1374</v>
      </c>
      <c r="T183" s="62">
        <f t="shared" si="81"/>
        <v>1374</v>
      </c>
    </row>
    <row r="184" spans="1:21" ht="25.5">
      <c r="A184" s="100"/>
      <c r="B184" s="15"/>
      <c r="C184" s="15"/>
      <c r="D184" s="16"/>
      <c r="E184" s="20">
        <v>158</v>
      </c>
      <c r="F184" s="136" t="s">
        <v>101</v>
      </c>
      <c r="G184" s="37">
        <v>730</v>
      </c>
      <c r="H184" s="37"/>
      <c r="I184" s="37"/>
      <c r="J184" s="75">
        <f t="shared" si="94"/>
        <v>0</v>
      </c>
      <c r="K184" s="35"/>
      <c r="L184" s="35"/>
      <c r="M184" s="92">
        <f t="shared" si="96"/>
        <v>0</v>
      </c>
      <c r="N184" s="101">
        <f t="shared" si="97"/>
        <v>0</v>
      </c>
      <c r="O184" s="70" t="e">
        <f t="shared" si="75"/>
        <v>#DIV/0!</v>
      </c>
      <c r="P184" s="71">
        <f t="shared" si="76"/>
        <v>0</v>
      </c>
      <c r="Q184" s="35">
        <f t="shared" si="77"/>
        <v>0</v>
      </c>
      <c r="R184" s="72">
        <v>1103755</v>
      </c>
      <c r="S184" s="72">
        <f t="shared" si="78"/>
        <v>730</v>
      </c>
      <c r="T184" s="62">
        <f t="shared" si="81"/>
        <v>730</v>
      </c>
    </row>
    <row r="185" spans="1:21">
      <c r="A185" s="100"/>
      <c r="B185" s="15"/>
      <c r="C185" s="15"/>
      <c r="D185" s="16"/>
      <c r="E185" s="20">
        <v>159</v>
      </c>
      <c r="F185" s="136" t="s">
        <v>84</v>
      </c>
      <c r="G185" s="37">
        <v>7434</v>
      </c>
      <c r="H185" s="37"/>
      <c r="I185" s="37"/>
      <c r="J185" s="75">
        <f t="shared" si="94"/>
        <v>0</v>
      </c>
      <c r="K185" s="35"/>
      <c r="L185" s="35"/>
      <c r="M185" s="93">
        <f t="shared" si="96"/>
        <v>0</v>
      </c>
      <c r="N185" s="93">
        <f t="shared" si="97"/>
        <v>0</v>
      </c>
      <c r="O185" s="70" t="e">
        <f t="shared" si="75"/>
        <v>#DIV/0!</v>
      </c>
      <c r="P185" s="71">
        <f t="shared" si="76"/>
        <v>0</v>
      </c>
      <c r="Q185" s="35">
        <f t="shared" si="77"/>
        <v>0</v>
      </c>
      <c r="R185" s="72">
        <v>1103756</v>
      </c>
      <c r="S185" s="72">
        <f t="shared" si="78"/>
        <v>7434</v>
      </c>
      <c r="T185" s="62">
        <f t="shared" si="81"/>
        <v>7434</v>
      </c>
    </row>
    <row r="186" spans="1:21">
      <c r="A186" s="100"/>
      <c r="B186" s="15"/>
      <c r="C186" s="15"/>
      <c r="D186" s="16"/>
      <c r="E186" s="69">
        <v>161</v>
      </c>
      <c r="F186" s="136" t="s">
        <v>102</v>
      </c>
      <c r="G186" s="37"/>
      <c r="H186" s="37"/>
      <c r="I186" s="37"/>
      <c r="J186" s="75">
        <f t="shared" si="94"/>
        <v>0</v>
      </c>
      <c r="K186" s="35"/>
      <c r="L186" s="35"/>
      <c r="M186" s="92">
        <f t="shared" si="96"/>
        <v>0</v>
      </c>
      <c r="N186" s="93">
        <f t="shared" si="97"/>
        <v>0</v>
      </c>
      <c r="O186" s="70" t="e">
        <f t="shared" si="75"/>
        <v>#DIV/0!</v>
      </c>
      <c r="P186" s="71">
        <f t="shared" si="76"/>
        <v>0</v>
      </c>
      <c r="Q186" s="35">
        <f t="shared" si="77"/>
        <v>0</v>
      </c>
      <c r="R186" s="72">
        <v>1103757</v>
      </c>
      <c r="S186" s="72">
        <f t="shared" si="78"/>
        <v>0</v>
      </c>
      <c r="T186" s="62">
        <f t="shared" si="81"/>
        <v>0</v>
      </c>
    </row>
    <row r="187" spans="1:21">
      <c r="A187" s="100"/>
      <c r="B187" s="15"/>
      <c r="C187" s="15"/>
      <c r="D187" s="16"/>
      <c r="E187" s="20">
        <v>169</v>
      </c>
      <c r="F187" s="136" t="s">
        <v>103</v>
      </c>
      <c r="G187" s="37">
        <v>403</v>
      </c>
      <c r="H187" s="37"/>
      <c r="I187" s="37"/>
      <c r="J187" s="75">
        <f t="shared" si="94"/>
        <v>0</v>
      </c>
      <c r="K187" s="35"/>
      <c r="L187" s="35"/>
      <c r="M187" s="93">
        <f t="shared" si="96"/>
        <v>0</v>
      </c>
      <c r="N187" s="93">
        <f t="shared" si="97"/>
        <v>0</v>
      </c>
      <c r="O187" s="70" t="e">
        <f t="shared" si="75"/>
        <v>#DIV/0!</v>
      </c>
      <c r="P187" s="71">
        <f t="shared" si="76"/>
        <v>0</v>
      </c>
      <c r="Q187" s="35">
        <f t="shared" si="77"/>
        <v>0</v>
      </c>
      <c r="R187" s="72">
        <v>1103758</v>
      </c>
      <c r="S187" s="72">
        <f t="shared" si="78"/>
        <v>403</v>
      </c>
      <c r="T187" s="62">
        <f t="shared" si="81"/>
        <v>403</v>
      </c>
    </row>
    <row r="188" spans="1:21" ht="25.5">
      <c r="A188" s="100"/>
      <c r="B188" s="15"/>
      <c r="C188" s="57" t="s">
        <v>43</v>
      </c>
      <c r="D188" s="16"/>
      <c r="E188" s="20"/>
      <c r="F188" s="139" t="s">
        <v>119</v>
      </c>
      <c r="G188" s="59">
        <f t="shared" ref="G188:N188" si="98">G189</f>
        <v>350929</v>
      </c>
      <c r="H188" s="59">
        <f t="shared" si="98"/>
        <v>0</v>
      </c>
      <c r="I188" s="59">
        <f t="shared" si="98"/>
        <v>0</v>
      </c>
      <c r="J188" s="29">
        <f t="shared" si="98"/>
        <v>0</v>
      </c>
      <c r="K188" s="33">
        <f t="shared" si="98"/>
        <v>0</v>
      </c>
      <c r="L188" s="59">
        <f t="shared" si="98"/>
        <v>0</v>
      </c>
      <c r="M188" s="59">
        <f t="shared" si="98"/>
        <v>0</v>
      </c>
      <c r="N188" s="29">
        <f t="shared" si="98"/>
        <v>0</v>
      </c>
      <c r="O188" s="70"/>
      <c r="P188" s="71">
        <f t="shared" si="76"/>
        <v>0</v>
      </c>
      <c r="Q188" s="35">
        <f t="shared" si="77"/>
        <v>0</v>
      </c>
      <c r="R188" s="72">
        <v>1103759</v>
      </c>
      <c r="S188" s="72">
        <f t="shared" si="78"/>
        <v>350929</v>
      </c>
    </row>
    <row r="189" spans="1:21">
      <c r="A189" s="9"/>
      <c r="B189" s="12"/>
      <c r="C189" s="12"/>
      <c r="D189" s="11" t="s">
        <v>7</v>
      </c>
      <c r="E189" s="97"/>
      <c r="F189" s="122" t="s">
        <v>85</v>
      </c>
      <c r="G189" s="98">
        <f>G190+G191</f>
        <v>350929</v>
      </c>
      <c r="H189" s="98">
        <f t="shared" ref="H189:N189" si="99">H190+H191</f>
        <v>0</v>
      </c>
      <c r="I189" s="98">
        <f t="shared" si="99"/>
        <v>0</v>
      </c>
      <c r="J189" s="99">
        <f t="shared" si="99"/>
        <v>0</v>
      </c>
      <c r="K189" s="98">
        <f t="shared" si="99"/>
        <v>0</v>
      </c>
      <c r="L189" s="98">
        <f t="shared" si="99"/>
        <v>0</v>
      </c>
      <c r="M189" s="32">
        <f t="shared" si="99"/>
        <v>0</v>
      </c>
      <c r="N189" s="98">
        <f t="shared" si="99"/>
        <v>0</v>
      </c>
      <c r="O189" s="68" t="e">
        <f>M189/I189*100</f>
        <v>#DIV/0!</v>
      </c>
      <c r="P189" s="71">
        <f t="shared" si="76"/>
        <v>0</v>
      </c>
      <c r="Q189" s="35">
        <f t="shared" si="77"/>
        <v>0</v>
      </c>
      <c r="R189" s="72">
        <v>1103760</v>
      </c>
      <c r="S189" s="72">
        <f t="shared" si="78"/>
        <v>350929</v>
      </c>
      <c r="T189" s="62">
        <f>G189-J189</f>
        <v>350929</v>
      </c>
    </row>
    <row r="190" spans="1:21" ht="25.5">
      <c r="A190" s="100"/>
      <c r="B190" s="15"/>
      <c r="C190" s="15"/>
      <c r="D190" s="16"/>
      <c r="E190" s="20">
        <v>414</v>
      </c>
      <c r="F190" s="50" t="s">
        <v>105</v>
      </c>
      <c r="G190" s="37"/>
      <c r="H190" s="37"/>
      <c r="I190" s="37"/>
      <c r="J190" s="75">
        <f>M190</f>
        <v>0</v>
      </c>
      <c r="K190" s="35"/>
      <c r="L190" s="35"/>
      <c r="M190" s="92">
        <f t="shared" ref="M190:M191" si="100">K190+L190</f>
        <v>0</v>
      </c>
      <c r="N190" s="93">
        <f t="shared" ref="N190:N191" si="101">I190-M190</f>
        <v>0</v>
      </c>
      <c r="O190" s="70" t="e">
        <f t="shared" ref="O190:O191" si="102">M190/I190*100</f>
        <v>#DIV/0!</v>
      </c>
      <c r="P190" s="71">
        <f t="shared" si="76"/>
        <v>0</v>
      </c>
      <c r="Q190" s="35">
        <f t="shared" si="77"/>
        <v>0</v>
      </c>
      <c r="R190" s="72">
        <v>1103761</v>
      </c>
      <c r="S190" s="72">
        <f t="shared" si="78"/>
        <v>0</v>
      </c>
    </row>
    <row r="191" spans="1:21" ht="25.5">
      <c r="A191" s="100"/>
      <c r="B191" s="15"/>
      <c r="C191" s="15"/>
      <c r="D191" s="16"/>
      <c r="E191" s="20">
        <v>421</v>
      </c>
      <c r="F191" s="136" t="s">
        <v>156</v>
      </c>
      <c r="G191" s="37">
        <v>350929</v>
      </c>
      <c r="H191" s="37"/>
      <c r="I191" s="37"/>
      <c r="J191" s="75">
        <f>M191</f>
        <v>0</v>
      </c>
      <c r="K191" s="35"/>
      <c r="L191" s="35"/>
      <c r="M191" s="92">
        <f t="shared" si="100"/>
        <v>0</v>
      </c>
      <c r="N191" s="93">
        <f t="shared" si="101"/>
        <v>0</v>
      </c>
      <c r="O191" s="70" t="e">
        <f t="shared" si="102"/>
        <v>#DIV/0!</v>
      </c>
      <c r="P191" s="71">
        <f t="shared" si="76"/>
        <v>0</v>
      </c>
      <c r="Q191" s="35">
        <f t="shared" si="77"/>
        <v>0</v>
      </c>
      <c r="R191" s="72">
        <v>1103762</v>
      </c>
      <c r="S191" s="72">
        <f t="shared" si="78"/>
        <v>350929</v>
      </c>
    </row>
    <row r="192" spans="1:21" s="113" customFormat="1">
      <c r="A192" s="100"/>
      <c r="B192" s="8" t="s">
        <v>20</v>
      </c>
      <c r="C192" s="8"/>
      <c r="D192" s="21"/>
      <c r="E192" s="21"/>
      <c r="F192" s="139" t="s">
        <v>125</v>
      </c>
      <c r="G192" s="59">
        <f>G193+G213</f>
        <v>636935</v>
      </c>
      <c r="H192" s="59">
        <f t="shared" ref="H192:N192" si="103">H193+H213</f>
        <v>36131</v>
      </c>
      <c r="I192" s="59">
        <f t="shared" si="103"/>
        <v>36131</v>
      </c>
      <c r="J192" s="59">
        <f t="shared" si="103"/>
        <v>30216.922999999999</v>
      </c>
      <c r="K192" s="59">
        <f t="shared" si="103"/>
        <v>0</v>
      </c>
      <c r="L192" s="59">
        <f t="shared" si="103"/>
        <v>30216.922999999999</v>
      </c>
      <c r="M192" s="29">
        <f t="shared" si="103"/>
        <v>30216.922999999999</v>
      </c>
      <c r="N192" s="29">
        <f t="shared" si="103"/>
        <v>5914.0770000000011</v>
      </c>
      <c r="O192" s="68">
        <f t="shared" si="75"/>
        <v>83.631571226924237</v>
      </c>
      <c r="P192" s="71">
        <f t="shared" si="76"/>
        <v>0</v>
      </c>
      <c r="Q192" s="35">
        <f t="shared" si="77"/>
        <v>5914.0770000000011</v>
      </c>
      <c r="R192" s="72">
        <v>1103763</v>
      </c>
      <c r="S192" s="72">
        <f t="shared" si="78"/>
        <v>606718.07700000005</v>
      </c>
      <c r="T192" s="62">
        <f t="shared" si="81"/>
        <v>606718.07700000005</v>
      </c>
      <c r="U192" s="73"/>
    </row>
    <row r="193" spans="1:20" s="95" customFormat="1" ht="76.5">
      <c r="A193" s="100"/>
      <c r="B193" s="8"/>
      <c r="C193" s="17" t="s">
        <v>23</v>
      </c>
      <c r="D193" s="17"/>
      <c r="E193" s="21"/>
      <c r="F193" s="139" t="s">
        <v>124</v>
      </c>
      <c r="G193" s="59">
        <f>G194</f>
        <v>636935</v>
      </c>
      <c r="H193" s="59">
        <f t="shared" ref="H193:N193" si="104">H194</f>
        <v>36131</v>
      </c>
      <c r="I193" s="59">
        <f t="shared" si="104"/>
        <v>36131</v>
      </c>
      <c r="J193" s="59">
        <f t="shared" si="104"/>
        <v>30216.922999999999</v>
      </c>
      <c r="K193" s="59">
        <f t="shared" si="104"/>
        <v>0</v>
      </c>
      <c r="L193" s="59">
        <f t="shared" si="104"/>
        <v>30216.922999999999</v>
      </c>
      <c r="M193" s="29">
        <f t="shared" si="104"/>
        <v>30216.922999999999</v>
      </c>
      <c r="N193" s="29">
        <f t="shared" si="104"/>
        <v>5914.0770000000011</v>
      </c>
      <c r="O193" s="68">
        <f t="shared" si="75"/>
        <v>83.631571226924237</v>
      </c>
      <c r="P193" s="71">
        <f t="shared" si="76"/>
        <v>0</v>
      </c>
      <c r="Q193" s="35">
        <f t="shared" si="77"/>
        <v>5914.0770000000011</v>
      </c>
      <c r="R193" s="72">
        <v>1103764</v>
      </c>
      <c r="S193" s="72">
        <f t="shared" si="78"/>
        <v>606718.07700000005</v>
      </c>
      <c r="T193" s="62">
        <f t="shared" si="81"/>
        <v>606718.07700000005</v>
      </c>
    </row>
    <row r="194" spans="1:20">
      <c r="A194" s="100"/>
      <c r="B194" s="8"/>
      <c r="C194" s="17"/>
      <c r="D194" s="17" t="s">
        <v>7</v>
      </c>
      <c r="E194" s="10"/>
      <c r="F194" s="140" t="s">
        <v>85</v>
      </c>
      <c r="G194" s="59">
        <f>SUM(G195:G212)</f>
        <v>636935</v>
      </c>
      <c r="H194" s="59">
        <f>SUM(H195:H212)</f>
        <v>36131</v>
      </c>
      <c r="I194" s="59">
        <f>SUM(I195:I212)</f>
        <v>36131</v>
      </c>
      <c r="J194" s="29">
        <f>SUM(J195:J212)</f>
        <v>30216.922999999999</v>
      </c>
      <c r="K194" s="29">
        <f t="shared" ref="K194:N194" si="105">SUM(K195:K212)</f>
        <v>0</v>
      </c>
      <c r="L194" s="29">
        <f t="shared" si="105"/>
        <v>30216.922999999999</v>
      </c>
      <c r="M194" s="29">
        <f>SUM(M195:M212)</f>
        <v>30216.922999999999</v>
      </c>
      <c r="N194" s="29">
        <f t="shared" si="105"/>
        <v>5914.0770000000011</v>
      </c>
      <c r="O194" s="68">
        <f>M194/I194*100</f>
        <v>83.631571226924237</v>
      </c>
      <c r="P194" s="71">
        <f t="shared" si="76"/>
        <v>0</v>
      </c>
      <c r="Q194" s="35">
        <f t="shared" si="77"/>
        <v>5914.0770000000011</v>
      </c>
      <c r="R194" s="72">
        <v>1103765</v>
      </c>
      <c r="S194" s="72">
        <f t="shared" si="78"/>
        <v>606718.07700000005</v>
      </c>
      <c r="T194" s="62">
        <f t="shared" si="81"/>
        <v>606718.07700000005</v>
      </c>
    </row>
    <row r="195" spans="1:20">
      <c r="A195" s="100"/>
      <c r="B195" s="9"/>
      <c r="C195" s="9"/>
      <c r="D195" s="69"/>
      <c r="E195" s="69">
        <v>111</v>
      </c>
      <c r="F195" s="136" t="s">
        <v>86</v>
      </c>
      <c r="G195" s="26">
        <v>367447</v>
      </c>
      <c r="H195" s="26">
        <v>30391</v>
      </c>
      <c r="I195" s="26">
        <v>30391</v>
      </c>
      <c r="J195" s="27">
        <f>M195</f>
        <v>28437.493999999999</v>
      </c>
      <c r="K195" s="35"/>
      <c r="L195" s="27">
        <v>28437.493999999999</v>
      </c>
      <c r="M195" s="92">
        <f>K195+L195</f>
        <v>28437.493999999999</v>
      </c>
      <c r="N195" s="93">
        <f t="shared" si="97"/>
        <v>1953.5060000000012</v>
      </c>
      <c r="O195" s="70">
        <f t="shared" si="75"/>
        <v>93.57209042150636</v>
      </c>
      <c r="P195" s="71">
        <f t="shared" si="76"/>
        <v>0</v>
      </c>
      <c r="Q195" s="35">
        <f t="shared" si="77"/>
        <v>1953.5060000000012</v>
      </c>
      <c r="R195" s="72">
        <v>1103766</v>
      </c>
      <c r="S195" s="72">
        <f t="shared" si="78"/>
        <v>339009.50599999999</v>
      </c>
      <c r="T195" s="62">
        <f t="shared" si="81"/>
        <v>339009.50599999999</v>
      </c>
    </row>
    <row r="196" spans="1:20">
      <c r="A196" s="100"/>
      <c r="B196" s="9"/>
      <c r="C196" s="9"/>
      <c r="D196" s="69"/>
      <c r="E196" s="69">
        <v>112</v>
      </c>
      <c r="F196" s="136" t="s">
        <v>87</v>
      </c>
      <c r="G196" s="26"/>
      <c r="H196" s="26"/>
      <c r="I196" s="26"/>
      <c r="J196" s="27">
        <f t="shared" ref="J196:J212" si="106">M196</f>
        <v>0</v>
      </c>
      <c r="K196" s="35"/>
      <c r="L196" s="27"/>
      <c r="M196" s="92">
        <f>K196+L196</f>
        <v>0</v>
      </c>
      <c r="N196" s="93">
        <f t="shared" si="97"/>
        <v>0</v>
      </c>
      <c r="O196" s="70" t="e">
        <f t="shared" si="75"/>
        <v>#DIV/0!</v>
      </c>
      <c r="P196" s="71">
        <f t="shared" si="76"/>
        <v>0</v>
      </c>
      <c r="Q196" s="35">
        <f t="shared" si="77"/>
        <v>0</v>
      </c>
      <c r="R196" s="72">
        <v>1103767</v>
      </c>
      <c r="S196" s="72">
        <f t="shared" si="78"/>
        <v>0</v>
      </c>
    </row>
    <row r="197" spans="1:20">
      <c r="A197" s="100"/>
      <c r="B197" s="9"/>
      <c r="C197" s="9"/>
      <c r="D197" s="69"/>
      <c r="E197" s="76">
        <v>113</v>
      </c>
      <c r="F197" s="136" t="s">
        <v>88</v>
      </c>
      <c r="G197" s="26">
        <v>11349</v>
      </c>
      <c r="H197" s="26">
        <v>793</v>
      </c>
      <c r="I197" s="26">
        <v>793</v>
      </c>
      <c r="J197" s="27">
        <f t="shared" si="106"/>
        <v>440.55700000000002</v>
      </c>
      <c r="K197" s="35"/>
      <c r="L197" s="27">
        <v>440.55700000000002</v>
      </c>
      <c r="M197" s="92">
        <f t="shared" ref="M197:M212" si="107">K197+L197</f>
        <v>440.55700000000002</v>
      </c>
      <c r="N197" s="93">
        <f>I197-M197</f>
        <v>352.44299999999998</v>
      </c>
      <c r="O197" s="70">
        <f>M197/I197*100</f>
        <v>55.555737704918037</v>
      </c>
      <c r="P197" s="71">
        <f t="shared" si="76"/>
        <v>0</v>
      </c>
      <c r="Q197" s="35">
        <f t="shared" si="77"/>
        <v>352.44299999999998</v>
      </c>
      <c r="R197" s="72">
        <v>1103768</v>
      </c>
      <c r="S197" s="72">
        <f t="shared" si="78"/>
        <v>10908.442999999999</v>
      </c>
      <c r="T197" s="62">
        <f t="shared" si="81"/>
        <v>10908.442999999999</v>
      </c>
    </row>
    <row r="198" spans="1:20">
      <c r="A198" s="100"/>
      <c r="B198" s="9"/>
      <c r="C198" s="9"/>
      <c r="D198" s="69"/>
      <c r="E198" s="69">
        <v>116</v>
      </c>
      <c r="F198" s="136" t="s">
        <v>89</v>
      </c>
      <c r="G198" s="26">
        <v>11283</v>
      </c>
      <c r="H198" s="26">
        <v>1063</v>
      </c>
      <c r="I198" s="26">
        <v>1063</v>
      </c>
      <c r="J198" s="27">
        <f t="shared" si="106"/>
        <v>826.76499999999999</v>
      </c>
      <c r="K198" s="35"/>
      <c r="L198" s="27">
        <v>826.76499999999999</v>
      </c>
      <c r="M198" s="92">
        <f t="shared" si="107"/>
        <v>826.76499999999999</v>
      </c>
      <c r="N198" s="93">
        <f>I198-M198</f>
        <v>236.23500000000001</v>
      </c>
      <c r="O198" s="70">
        <f>M198/I198*100</f>
        <v>77.776575729068682</v>
      </c>
      <c r="P198" s="71">
        <f t="shared" si="76"/>
        <v>0</v>
      </c>
      <c r="Q198" s="35">
        <f t="shared" si="77"/>
        <v>236.23500000000001</v>
      </c>
      <c r="R198" s="72">
        <v>1103769</v>
      </c>
      <c r="S198" s="72">
        <f t="shared" si="78"/>
        <v>10456.235000000001</v>
      </c>
    </row>
    <row r="199" spans="1:20">
      <c r="A199" s="100"/>
      <c r="B199" s="9"/>
      <c r="C199" s="9"/>
      <c r="D199" s="69"/>
      <c r="E199" s="69">
        <v>121</v>
      </c>
      <c r="F199" s="136" t="s">
        <v>90</v>
      </c>
      <c r="G199" s="26">
        <v>19034</v>
      </c>
      <c r="H199" s="26">
        <v>1604</v>
      </c>
      <c r="I199" s="26">
        <v>1604</v>
      </c>
      <c r="J199" s="27">
        <f t="shared" si="106"/>
        <v>512.10699999999997</v>
      </c>
      <c r="K199" s="35"/>
      <c r="L199" s="27">
        <v>512.10699999999997</v>
      </c>
      <c r="M199" s="92">
        <f t="shared" si="107"/>
        <v>512.10699999999997</v>
      </c>
      <c r="N199" s="93">
        <f t="shared" si="97"/>
        <v>1091.893</v>
      </c>
      <c r="O199" s="70">
        <f t="shared" si="75"/>
        <v>31.926870324189526</v>
      </c>
      <c r="P199" s="71">
        <f t="shared" si="76"/>
        <v>0</v>
      </c>
      <c r="Q199" s="35">
        <f t="shared" si="77"/>
        <v>1091.893</v>
      </c>
      <c r="R199" s="72">
        <v>1103770</v>
      </c>
      <c r="S199" s="72">
        <f t="shared" si="78"/>
        <v>18521.893</v>
      </c>
      <c r="T199" s="62">
        <f t="shared" si="81"/>
        <v>18521.893</v>
      </c>
    </row>
    <row r="200" spans="1:20" ht="25.5">
      <c r="A200" s="100"/>
      <c r="B200" s="9"/>
      <c r="C200" s="9"/>
      <c r="D200" s="69"/>
      <c r="E200" s="69">
        <v>122</v>
      </c>
      <c r="F200" s="136" t="s">
        <v>91</v>
      </c>
      <c r="G200" s="26">
        <v>16535</v>
      </c>
      <c r="H200" s="26">
        <v>1368</v>
      </c>
      <c r="I200" s="26">
        <v>1368</v>
      </c>
      <c r="J200" s="27">
        <f t="shared" si="106"/>
        <v>0</v>
      </c>
      <c r="K200" s="35"/>
      <c r="L200" s="27"/>
      <c r="M200" s="92">
        <f t="shared" si="107"/>
        <v>0</v>
      </c>
      <c r="N200" s="93">
        <f t="shared" si="97"/>
        <v>1368</v>
      </c>
      <c r="O200" s="70">
        <f t="shared" ref="O200:O216" si="108">M200/I200*100</f>
        <v>0</v>
      </c>
      <c r="P200" s="71">
        <f t="shared" si="76"/>
        <v>0</v>
      </c>
      <c r="Q200" s="35">
        <f t="shared" si="77"/>
        <v>1368</v>
      </c>
      <c r="R200" s="72">
        <v>1103771</v>
      </c>
      <c r="S200" s="72">
        <f t="shared" si="78"/>
        <v>16535</v>
      </c>
      <c r="T200" s="62">
        <f t="shared" si="81"/>
        <v>16535</v>
      </c>
    </row>
    <row r="201" spans="1:20">
      <c r="A201" s="100"/>
      <c r="B201" s="9"/>
      <c r="C201" s="9"/>
      <c r="D201" s="69"/>
      <c r="E201" s="69">
        <v>123</v>
      </c>
      <c r="F201" s="136" t="s">
        <v>92</v>
      </c>
      <c r="G201" s="26">
        <v>532</v>
      </c>
      <c r="H201" s="26"/>
      <c r="I201" s="26"/>
      <c r="J201" s="27">
        <f t="shared" si="106"/>
        <v>0</v>
      </c>
      <c r="K201" s="35"/>
      <c r="L201" s="27"/>
      <c r="M201" s="92">
        <f t="shared" si="107"/>
        <v>0</v>
      </c>
      <c r="N201" s="93">
        <f t="shared" si="97"/>
        <v>0</v>
      </c>
      <c r="O201" s="70" t="e">
        <f>M201/I201*100</f>
        <v>#DIV/0!</v>
      </c>
      <c r="P201" s="71">
        <f t="shared" si="76"/>
        <v>0</v>
      </c>
      <c r="Q201" s="35">
        <f t="shared" si="77"/>
        <v>0</v>
      </c>
      <c r="R201" s="72">
        <v>1103772</v>
      </c>
      <c r="S201" s="72">
        <f t="shared" si="78"/>
        <v>532</v>
      </c>
      <c r="T201" s="62">
        <f t="shared" si="81"/>
        <v>532</v>
      </c>
    </row>
    <row r="202" spans="1:20">
      <c r="A202" s="100"/>
      <c r="B202" s="9"/>
      <c r="C202" s="9"/>
      <c r="D202" s="69"/>
      <c r="E202" s="69">
        <v>124</v>
      </c>
      <c r="F202" s="136" t="s">
        <v>93</v>
      </c>
      <c r="G202" s="26">
        <v>11023</v>
      </c>
      <c r="H202" s="26">
        <v>912</v>
      </c>
      <c r="I202" s="26">
        <v>912</v>
      </c>
      <c r="J202" s="27">
        <f t="shared" si="106"/>
        <v>0</v>
      </c>
      <c r="K202" s="35"/>
      <c r="L202" s="27"/>
      <c r="M202" s="92">
        <f t="shared" si="107"/>
        <v>0</v>
      </c>
      <c r="N202" s="93">
        <f t="shared" si="97"/>
        <v>912</v>
      </c>
      <c r="O202" s="70">
        <f t="shared" si="108"/>
        <v>0</v>
      </c>
      <c r="P202" s="71">
        <f t="shared" ref="P202:P265" si="109">J202-M202</f>
        <v>0</v>
      </c>
      <c r="Q202" s="35">
        <f t="shared" ref="Q202:Q265" si="110">H202-J202</f>
        <v>912</v>
      </c>
      <c r="R202" s="72">
        <v>1103773</v>
      </c>
      <c r="S202" s="72">
        <f t="shared" ref="S202:S265" si="111">G202-M202</f>
        <v>11023</v>
      </c>
      <c r="T202" s="62">
        <f t="shared" si="81"/>
        <v>11023</v>
      </c>
    </row>
    <row r="203" spans="1:20">
      <c r="A203" s="100"/>
      <c r="B203" s="9"/>
      <c r="C203" s="9"/>
      <c r="D203" s="69"/>
      <c r="E203" s="69">
        <v>141</v>
      </c>
      <c r="F203" s="136" t="s">
        <v>116</v>
      </c>
      <c r="G203" s="26">
        <v>103078</v>
      </c>
      <c r="H203" s="26"/>
      <c r="I203" s="26"/>
      <c r="J203" s="27">
        <f t="shared" si="106"/>
        <v>0</v>
      </c>
      <c r="K203" s="35"/>
      <c r="L203" s="27"/>
      <c r="M203" s="92">
        <f t="shared" si="107"/>
        <v>0</v>
      </c>
      <c r="N203" s="93">
        <f t="shared" si="97"/>
        <v>0</v>
      </c>
      <c r="O203" s="70" t="e">
        <f t="shared" si="108"/>
        <v>#DIV/0!</v>
      </c>
      <c r="P203" s="71">
        <f t="shared" si="109"/>
        <v>0</v>
      </c>
      <c r="Q203" s="35">
        <f t="shared" si="110"/>
        <v>0</v>
      </c>
      <c r="R203" s="72">
        <v>1103774</v>
      </c>
      <c r="S203" s="72">
        <f t="shared" si="111"/>
        <v>103078</v>
      </c>
      <c r="T203" s="62">
        <f t="shared" si="81"/>
        <v>103078</v>
      </c>
    </row>
    <row r="204" spans="1:20" s="73" customFormat="1">
      <c r="A204" s="100"/>
      <c r="B204" s="9"/>
      <c r="C204" s="9"/>
      <c r="D204" s="69"/>
      <c r="E204" s="69">
        <v>142</v>
      </c>
      <c r="F204" s="136" t="s">
        <v>97</v>
      </c>
      <c r="G204" s="26">
        <v>26237</v>
      </c>
      <c r="H204" s="26"/>
      <c r="I204" s="26"/>
      <c r="J204" s="27">
        <f t="shared" si="106"/>
        <v>0</v>
      </c>
      <c r="K204" s="35"/>
      <c r="L204" s="27"/>
      <c r="M204" s="92">
        <f t="shared" si="107"/>
        <v>0</v>
      </c>
      <c r="N204" s="93">
        <f t="shared" si="97"/>
        <v>0</v>
      </c>
      <c r="O204" s="70" t="e">
        <f t="shared" si="108"/>
        <v>#DIV/0!</v>
      </c>
      <c r="P204" s="71">
        <f t="shared" si="109"/>
        <v>0</v>
      </c>
      <c r="Q204" s="35">
        <f t="shared" si="110"/>
        <v>0</v>
      </c>
      <c r="R204" s="72">
        <v>1103775</v>
      </c>
      <c r="S204" s="72">
        <f t="shared" si="111"/>
        <v>26237</v>
      </c>
      <c r="T204" s="62">
        <f t="shared" si="81"/>
        <v>26237</v>
      </c>
    </row>
    <row r="205" spans="1:20">
      <c r="A205" s="100"/>
      <c r="B205" s="9"/>
      <c r="C205" s="9"/>
      <c r="D205" s="69"/>
      <c r="E205" s="69">
        <v>144</v>
      </c>
      <c r="F205" s="136" t="s">
        <v>98</v>
      </c>
      <c r="G205" s="26">
        <v>3824</v>
      </c>
      <c r="H205" s="26"/>
      <c r="I205" s="26"/>
      <c r="J205" s="27">
        <f t="shared" si="106"/>
        <v>0</v>
      </c>
      <c r="K205" s="35"/>
      <c r="L205" s="27"/>
      <c r="M205" s="92">
        <f t="shared" si="107"/>
        <v>0</v>
      </c>
      <c r="N205" s="93">
        <f t="shared" si="97"/>
        <v>0</v>
      </c>
      <c r="O205" s="70" t="e">
        <f t="shared" si="108"/>
        <v>#DIV/0!</v>
      </c>
      <c r="P205" s="71">
        <f t="shared" si="109"/>
        <v>0</v>
      </c>
      <c r="Q205" s="35">
        <f t="shared" si="110"/>
        <v>0</v>
      </c>
      <c r="R205" s="72">
        <v>1103776</v>
      </c>
      <c r="S205" s="72">
        <f t="shared" si="111"/>
        <v>3824</v>
      </c>
      <c r="T205" s="62">
        <f t="shared" si="81"/>
        <v>3824</v>
      </c>
    </row>
    <row r="206" spans="1:20">
      <c r="A206" s="100"/>
      <c r="B206" s="9"/>
      <c r="C206" s="9"/>
      <c r="D206" s="69"/>
      <c r="E206" s="69">
        <v>149</v>
      </c>
      <c r="F206" s="136" t="s">
        <v>99</v>
      </c>
      <c r="G206" s="26">
        <v>9021</v>
      </c>
      <c r="H206" s="26"/>
      <c r="I206" s="26"/>
      <c r="J206" s="27">
        <f t="shared" si="106"/>
        <v>0</v>
      </c>
      <c r="K206" s="35"/>
      <c r="L206" s="27"/>
      <c r="M206" s="92">
        <f t="shared" si="107"/>
        <v>0</v>
      </c>
      <c r="N206" s="93">
        <f t="shared" si="97"/>
        <v>0</v>
      </c>
      <c r="O206" s="70" t="e">
        <f t="shared" si="108"/>
        <v>#DIV/0!</v>
      </c>
      <c r="P206" s="71">
        <f t="shared" si="109"/>
        <v>0</v>
      </c>
      <c r="Q206" s="35">
        <f t="shared" si="110"/>
        <v>0</v>
      </c>
      <c r="R206" s="72">
        <v>1103777</v>
      </c>
      <c r="S206" s="72">
        <f t="shared" si="111"/>
        <v>9021</v>
      </c>
      <c r="T206" s="62">
        <f t="shared" si="81"/>
        <v>9021</v>
      </c>
    </row>
    <row r="207" spans="1:20">
      <c r="A207" s="100"/>
      <c r="B207" s="9"/>
      <c r="C207" s="9"/>
      <c r="D207" s="69"/>
      <c r="E207" s="69">
        <v>151</v>
      </c>
      <c r="F207" s="136" t="s">
        <v>100</v>
      </c>
      <c r="G207" s="26">
        <v>33050</v>
      </c>
      <c r="H207" s="26"/>
      <c r="I207" s="26"/>
      <c r="J207" s="27">
        <f t="shared" si="106"/>
        <v>0</v>
      </c>
      <c r="K207" s="35"/>
      <c r="L207" s="27"/>
      <c r="M207" s="92">
        <f t="shared" si="107"/>
        <v>0</v>
      </c>
      <c r="N207" s="93">
        <f t="shared" si="97"/>
        <v>0</v>
      </c>
      <c r="O207" s="70" t="e">
        <f t="shared" si="108"/>
        <v>#DIV/0!</v>
      </c>
      <c r="P207" s="71">
        <f t="shared" si="109"/>
        <v>0</v>
      </c>
      <c r="Q207" s="35">
        <f t="shared" si="110"/>
        <v>0</v>
      </c>
      <c r="R207" s="72">
        <v>1103778</v>
      </c>
      <c r="S207" s="72">
        <f t="shared" si="111"/>
        <v>33050</v>
      </c>
      <c r="T207" s="62">
        <f t="shared" si="81"/>
        <v>33050</v>
      </c>
    </row>
    <row r="208" spans="1:20" ht="25.5">
      <c r="A208" s="100"/>
      <c r="B208" s="9"/>
      <c r="C208" s="9"/>
      <c r="D208" s="69"/>
      <c r="E208" s="69">
        <v>152</v>
      </c>
      <c r="F208" s="136" t="s">
        <v>101</v>
      </c>
      <c r="G208" s="26">
        <v>3322</v>
      </c>
      <c r="H208" s="26"/>
      <c r="I208" s="26"/>
      <c r="J208" s="27">
        <f t="shared" si="106"/>
        <v>0</v>
      </c>
      <c r="K208" s="35"/>
      <c r="L208" s="27"/>
      <c r="M208" s="92">
        <f t="shared" si="107"/>
        <v>0</v>
      </c>
      <c r="N208" s="93">
        <f t="shared" si="97"/>
        <v>0</v>
      </c>
      <c r="O208" s="70" t="e">
        <f t="shared" si="108"/>
        <v>#DIV/0!</v>
      </c>
      <c r="P208" s="71">
        <f t="shared" si="109"/>
        <v>0</v>
      </c>
      <c r="Q208" s="35">
        <f t="shared" si="110"/>
        <v>0</v>
      </c>
      <c r="R208" s="72">
        <v>1103779</v>
      </c>
      <c r="S208" s="72">
        <f t="shared" si="111"/>
        <v>3322</v>
      </c>
      <c r="T208" s="62">
        <f t="shared" si="81"/>
        <v>3322</v>
      </c>
    </row>
    <row r="209" spans="1:21">
      <c r="A209" s="100"/>
      <c r="B209" s="9"/>
      <c r="C209" s="9"/>
      <c r="D209" s="69"/>
      <c r="E209" s="69">
        <v>158</v>
      </c>
      <c r="F209" s="136" t="s">
        <v>84</v>
      </c>
      <c r="G209" s="26">
        <v>730</v>
      </c>
      <c r="H209" s="26"/>
      <c r="I209" s="26"/>
      <c r="J209" s="27">
        <f t="shared" si="106"/>
        <v>0</v>
      </c>
      <c r="K209" s="35"/>
      <c r="L209" s="27"/>
      <c r="M209" s="92">
        <f t="shared" si="107"/>
        <v>0</v>
      </c>
      <c r="N209" s="93">
        <f t="shared" si="97"/>
        <v>0</v>
      </c>
      <c r="O209" s="70" t="e">
        <f t="shared" si="108"/>
        <v>#DIV/0!</v>
      </c>
      <c r="P209" s="71">
        <f t="shared" si="109"/>
        <v>0</v>
      </c>
      <c r="Q209" s="35">
        <f t="shared" si="110"/>
        <v>0</v>
      </c>
      <c r="R209" s="72">
        <v>1103780</v>
      </c>
      <c r="S209" s="72">
        <f t="shared" si="111"/>
        <v>730</v>
      </c>
      <c r="T209" s="62">
        <f t="shared" si="81"/>
        <v>730</v>
      </c>
    </row>
    <row r="210" spans="1:21">
      <c r="A210" s="100"/>
      <c r="B210" s="9"/>
      <c r="C210" s="9"/>
      <c r="D210" s="69"/>
      <c r="E210" s="69">
        <v>159</v>
      </c>
      <c r="F210" s="136" t="s">
        <v>102</v>
      </c>
      <c r="G210" s="26">
        <v>16176</v>
      </c>
      <c r="H210" s="26"/>
      <c r="I210" s="26"/>
      <c r="J210" s="27">
        <f t="shared" si="106"/>
        <v>0</v>
      </c>
      <c r="K210" s="35"/>
      <c r="L210" s="27"/>
      <c r="M210" s="92">
        <f t="shared" si="107"/>
        <v>0</v>
      </c>
      <c r="N210" s="93">
        <f t="shared" si="97"/>
        <v>0</v>
      </c>
      <c r="O210" s="70" t="e">
        <f t="shared" si="108"/>
        <v>#DIV/0!</v>
      </c>
      <c r="P210" s="71">
        <f t="shared" si="109"/>
        <v>0</v>
      </c>
      <c r="Q210" s="35">
        <f t="shared" si="110"/>
        <v>0</v>
      </c>
      <c r="R210" s="72">
        <v>1103781</v>
      </c>
      <c r="S210" s="72">
        <f t="shared" si="111"/>
        <v>16176</v>
      </c>
      <c r="T210" s="62">
        <f t="shared" si="81"/>
        <v>16176</v>
      </c>
    </row>
    <row r="211" spans="1:21">
      <c r="A211" s="100"/>
      <c r="B211" s="9"/>
      <c r="C211" s="9"/>
      <c r="D211" s="69"/>
      <c r="E211" s="69">
        <v>161</v>
      </c>
      <c r="F211" s="136" t="s">
        <v>103</v>
      </c>
      <c r="G211" s="26">
        <v>4231</v>
      </c>
      <c r="H211" s="26"/>
      <c r="I211" s="26"/>
      <c r="J211" s="27">
        <f t="shared" si="106"/>
        <v>0</v>
      </c>
      <c r="K211" s="35"/>
      <c r="L211" s="27"/>
      <c r="M211" s="92">
        <f t="shared" si="107"/>
        <v>0</v>
      </c>
      <c r="N211" s="93">
        <f t="shared" si="97"/>
        <v>0</v>
      </c>
      <c r="O211" s="70" t="e">
        <f t="shared" si="108"/>
        <v>#DIV/0!</v>
      </c>
      <c r="P211" s="71">
        <f t="shared" si="109"/>
        <v>0</v>
      </c>
      <c r="Q211" s="35">
        <f t="shared" si="110"/>
        <v>0</v>
      </c>
      <c r="R211" s="72">
        <v>1103782</v>
      </c>
      <c r="S211" s="72">
        <f t="shared" si="111"/>
        <v>4231</v>
      </c>
      <c r="T211" s="62">
        <f t="shared" si="81"/>
        <v>4231</v>
      </c>
    </row>
    <row r="212" spans="1:21">
      <c r="A212" s="100"/>
      <c r="B212" s="9"/>
      <c r="C212" s="9"/>
      <c r="D212" s="69"/>
      <c r="E212" s="69">
        <v>169</v>
      </c>
      <c r="F212" s="136" t="s">
        <v>103</v>
      </c>
      <c r="G212" s="26">
        <v>63</v>
      </c>
      <c r="H212" s="26"/>
      <c r="I212" s="26"/>
      <c r="J212" s="27">
        <f t="shared" si="106"/>
        <v>0</v>
      </c>
      <c r="K212" s="35"/>
      <c r="L212" s="27"/>
      <c r="M212" s="92">
        <f t="shared" si="107"/>
        <v>0</v>
      </c>
      <c r="N212" s="93">
        <f t="shared" si="97"/>
        <v>0</v>
      </c>
      <c r="O212" s="70" t="e">
        <f t="shared" si="108"/>
        <v>#DIV/0!</v>
      </c>
      <c r="P212" s="71">
        <f t="shared" si="109"/>
        <v>0</v>
      </c>
      <c r="Q212" s="35">
        <f t="shared" si="110"/>
        <v>0</v>
      </c>
      <c r="R212" s="72">
        <v>1103783</v>
      </c>
      <c r="S212" s="72">
        <f t="shared" si="111"/>
        <v>63</v>
      </c>
      <c r="T212" s="62">
        <f t="shared" si="81"/>
        <v>63</v>
      </c>
    </row>
    <row r="213" spans="1:21" ht="25.5">
      <c r="A213" s="100"/>
      <c r="B213" s="15"/>
      <c r="C213" s="57" t="s">
        <v>43</v>
      </c>
      <c r="D213" s="18"/>
      <c r="E213" s="115"/>
      <c r="F213" s="139" t="s">
        <v>119</v>
      </c>
      <c r="G213" s="59">
        <f t="shared" ref="G213:N214" si="112">G214</f>
        <v>0</v>
      </c>
      <c r="H213" s="59">
        <f t="shared" si="112"/>
        <v>0</v>
      </c>
      <c r="I213" s="59">
        <f t="shared" si="112"/>
        <v>0</v>
      </c>
      <c r="J213" s="33">
        <f t="shared" si="112"/>
        <v>0</v>
      </c>
      <c r="K213" s="33">
        <f t="shared" si="112"/>
        <v>0</v>
      </c>
      <c r="L213" s="59">
        <f t="shared" si="112"/>
        <v>0</v>
      </c>
      <c r="M213" s="59">
        <f t="shared" si="112"/>
        <v>0</v>
      </c>
      <c r="N213" s="59">
        <f t="shared" si="112"/>
        <v>0</v>
      </c>
      <c r="O213" s="70"/>
      <c r="P213" s="71">
        <f t="shared" si="109"/>
        <v>0</v>
      </c>
      <c r="Q213" s="35">
        <f t="shared" si="110"/>
        <v>0</v>
      </c>
      <c r="R213" s="72">
        <v>1103784</v>
      </c>
      <c r="S213" s="72">
        <f t="shared" si="111"/>
        <v>0</v>
      </c>
    </row>
    <row r="214" spans="1:21">
      <c r="A214" s="9"/>
      <c r="B214" s="12"/>
      <c r="C214" s="12"/>
      <c r="D214" s="11" t="s">
        <v>7</v>
      </c>
      <c r="E214" s="97"/>
      <c r="F214" s="122" t="s">
        <v>85</v>
      </c>
      <c r="G214" s="98">
        <f t="shared" si="112"/>
        <v>0</v>
      </c>
      <c r="H214" s="98">
        <f t="shared" si="112"/>
        <v>0</v>
      </c>
      <c r="I214" s="98">
        <f t="shared" si="112"/>
        <v>0</v>
      </c>
      <c r="J214" s="99">
        <f>J215</f>
        <v>0</v>
      </c>
      <c r="K214" s="99">
        <f>K215</f>
        <v>0</v>
      </c>
      <c r="L214" s="98">
        <f t="shared" si="112"/>
        <v>0</v>
      </c>
      <c r="M214" s="98">
        <f t="shared" si="112"/>
        <v>0</v>
      </c>
      <c r="N214" s="98">
        <f t="shared" si="112"/>
        <v>0</v>
      </c>
      <c r="O214" s="68" t="e">
        <f>M214/I214*100</f>
        <v>#DIV/0!</v>
      </c>
      <c r="P214" s="71">
        <f t="shared" si="109"/>
        <v>0</v>
      </c>
      <c r="Q214" s="35">
        <f t="shared" si="110"/>
        <v>0</v>
      </c>
      <c r="R214" s="72">
        <v>1103785</v>
      </c>
      <c r="S214" s="72">
        <f t="shared" si="111"/>
        <v>0</v>
      </c>
      <c r="T214" s="62">
        <f>G214-J214</f>
        <v>0</v>
      </c>
    </row>
    <row r="215" spans="1:21" ht="25.5">
      <c r="A215" s="100"/>
      <c r="B215" s="15"/>
      <c r="C215" s="15"/>
      <c r="D215" s="16"/>
      <c r="E215" s="20">
        <v>414</v>
      </c>
      <c r="F215" s="50" t="s">
        <v>105</v>
      </c>
      <c r="G215" s="37"/>
      <c r="H215" s="37"/>
      <c r="I215" s="37"/>
      <c r="J215" s="75">
        <f>M215</f>
        <v>0</v>
      </c>
      <c r="K215" s="35"/>
      <c r="L215" s="35"/>
      <c r="M215" s="93">
        <f t="shared" ref="M215" si="113">K215+L215</f>
        <v>0</v>
      </c>
      <c r="N215" s="93">
        <f t="shared" ref="N215" si="114">I215-M215</f>
        <v>0</v>
      </c>
      <c r="O215" s="70" t="e">
        <f>M215/I215*100</f>
        <v>#DIV/0!</v>
      </c>
      <c r="P215" s="71">
        <f t="shared" si="109"/>
        <v>0</v>
      </c>
      <c r="Q215" s="35">
        <f t="shared" si="110"/>
        <v>0</v>
      </c>
      <c r="R215" s="72">
        <v>1103786</v>
      </c>
      <c r="S215" s="72">
        <f t="shared" si="111"/>
        <v>0</v>
      </c>
    </row>
    <row r="216" spans="1:21" s="113" customFormat="1" ht="38.25">
      <c r="A216" s="100"/>
      <c r="B216" s="17">
        <v>1267</v>
      </c>
      <c r="C216" s="8"/>
      <c r="D216" s="21"/>
      <c r="E216" s="21"/>
      <c r="F216" s="139" t="s">
        <v>126</v>
      </c>
      <c r="G216" s="42">
        <f t="shared" ref="G216:N216" si="115">G217+G220+G238+G242+G259</f>
        <v>7960352</v>
      </c>
      <c r="H216" s="42">
        <f t="shared" si="115"/>
        <v>85517</v>
      </c>
      <c r="I216" s="42">
        <f t="shared" si="115"/>
        <v>61053</v>
      </c>
      <c r="J216" s="42">
        <f t="shared" si="115"/>
        <v>65109.50996000001</v>
      </c>
      <c r="K216" s="42">
        <f t="shared" si="115"/>
        <v>0</v>
      </c>
      <c r="L216" s="42">
        <f t="shared" si="115"/>
        <v>60896.595510000006</v>
      </c>
      <c r="M216" s="29">
        <f t="shared" si="115"/>
        <v>60896.595510000006</v>
      </c>
      <c r="N216" s="29">
        <f t="shared" si="115"/>
        <v>156.40448999999262</v>
      </c>
      <c r="O216" s="68">
        <f t="shared" si="108"/>
        <v>99.743821777799624</v>
      </c>
      <c r="P216" s="71">
        <f t="shared" si="109"/>
        <v>4212.9144500000039</v>
      </c>
      <c r="Q216" s="35">
        <f t="shared" si="110"/>
        <v>20407.49003999999</v>
      </c>
      <c r="R216" s="72">
        <v>1103787</v>
      </c>
      <c r="S216" s="72">
        <f t="shared" si="111"/>
        <v>7899455.4044899996</v>
      </c>
      <c r="T216" s="62">
        <f t="shared" si="81"/>
        <v>7895242.4900399996</v>
      </c>
      <c r="U216" s="73"/>
    </row>
    <row r="217" spans="1:21" ht="25.5">
      <c r="A217" s="103"/>
      <c r="B217" s="8"/>
      <c r="C217" s="17" t="s">
        <v>28</v>
      </c>
      <c r="D217" s="21"/>
      <c r="E217" s="21"/>
      <c r="F217" s="125" t="s">
        <v>127</v>
      </c>
      <c r="G217" s="23">
        <f>G218</f>
        <v>19620</v>
      </c>
      <c r="H217" s="23">
        <f t="shared" ref="H217:O218" si="116">H218</f>
        <v>0</v>
      </c>
      <c r="I217" s="23">
        <f t="shared" si="116"/>
        <v>0</v>
      </c>
      <c r="J217" s="38">
        <f t="shared" si="116"/>
        <v>0</v>
      </c>
      <c r="K217" s="23">
        <f t="shared" si="116"/>
        <v>0</v>
      </c>
      <c r="L217" s="23">
        <f t="shared" si="116"/>
        <v>0</v>
      </c>
      <c r="M217" s="25">
        <f t="shared" si="116"/>
        <v>0</v>
      </c>
      <c r="N217" s="23">
        <f t="shared" si="116"/>
        <v>0</v>
      </c>
      <c r="O217" s="39" t="e">
        <f t="shared" si="116"/>
        <v>#DIV/0!</v>
      </c>
      <c r="P217" s="71">
        <f t="shared" si="109"/>
        <v>0</v>
      </c>
      <c r="Q217" s="35">
        <f t="shared" si="110"/>
        <v>0</v>
      </c>
      <c r="R217" s="72">
        <v>1103788</v>
      </c>
      <c r="S217" s="72">
        <f t="shared" si="111"/>
        <v>19620</v>
      </c>
    </row>
    <row r="218" spans="1:21">
      <c r="A218" s="100"/>
      <c r="B218" s="8"/>
      <c r="C218" s="8"/>
      <c r="D218" s="17" t="s">
        <v>7</v>
      </c>
      <c r="E218" s="10"/>
      <c r="F218" s="140" t="s">
        <v>85</v>
      </c>
      <c r="G218" s="59">
        <f>G219</f>
        <v>19620</v>
      </c>
      <c r="H218" s="59">
        <f t="shared" si="116"/>
        <v>0</v>
      </c>
      <c r="I218" s="59">
        <f t="shared" si="116"/>
        <v>0</v>
      </c>
      <c r="J218" s="59">
        <f t="shared" si="116"/>
        <v>0</v>
      </c>
      <c r="K218" s="59">
        <f t="shared" si="116"/>
        <v>0</v>
      </c>
      <c r="L218" s="59">
        <f t="shared" si="116"/>
        <v>0</v>
      </c>
      <c r="M218" s="59">
        <f t="shared" si="116"/>
        <v>0</v>
      </c>
      <c r="N218" s="59">
        <f t="shared" si="116"/>
        <v>0</v>
      </c>
      <c r="O218" s="68" t="e">
        <f>M218/I218*100</f>
        <v>#DIV/0!</v>
      </c>
      <c r="P218" s="71">
        <f t="shared" si="109"/>
        <v>0</v>
      </c>
      <c r="Q218" s="35">
        <f t="shared" si="110"/>
        <v>0</v>
      </c>
      <c r="R218" s="72">
        <v>1103789</v>
      </c>
      <c r="S218" s="72">
        <f t="shared" si="111"/>
        <v>19620</v>
      </c>
    </row>
    <row r="219" spans="1:21">
      <c r="A219" s="100"/>
      <c r="B219" s="9"/>
      <c r="C219" s="9"/>
      <c r="D219" s="69"/>
      <c r="E219" s="69">
        <v>159</v>
      </c>
      <c r="F219" s="136" t="s">
        <v>84</v>
      </c>
      <c r="G219" s="26">
        <v>19620</v>
      </c>
      <c r="H219" s="26"/>
      <c r="I219" s="26"/>
      <c r="J219" s="105">
        <f>M219</f>
        <v>0</v>
      </c>
      <c r="K219" s="35"/>
      <c r="L219" s="27"/>
      <c r="M219" s="92">
        <f>K219+L219</f>
        <v>0</v>
      </c>
      <c r="N219" s="93">
        <f>I219-M219</f>
        <v>0</v>
      </c>
      <c r="O219" s="70" t="e">
        <f>M219/I219*100</f>
        <v>#DIV/0!</v>
      </c>
      <c r="P219" s="71">
        <f t="shared" si="109"/>
        <v>0</v>
      </c>
      <c r="Q219" s="35">
        <f t="shared" si="110"/>
        <v>0</v>
      </c>
      <c r="R219" s="72">
        <v>1103790</v>
      </c>
      <c r="S219" s="72">
        <f t="shared" si="111"/>
        <v>19620</v>
      </c>
    </row>
    <row r="220" spans="1:21" s="95" customFormat="1" ht="51">
      <c r="A220" s="100"/>
      <c r="B220" s="8"/>
      <c r="C220" s="17" t="s">
        <v>29</v>
      </c>
      <c r="D220" s="21"/>
      <c r="E220" s="21"/>
      <c r="F220" s="139" t="s">
        <v>128</v>
      </c>
      <c r="G220" s="59">
        <f>G221</f>
        <v>947699</v>
      </c>
      <c r="H220" s="59">
        <f t="shared" ref="H220:N220" si="117">H221</f>
        <v>77725</v>
      </c>
      <c r="I220" s="59">
        <f t="shared" si="117"/>
        <v>53261</v>
      </c>
      <c r="J220" s="59">
        <f t="shared" si="117"/>
        <v>57347.871960000011</v>
      </c>
      <c r="K220" s="59">
        <f t="shared" si="117"/>
        <v>0</v>
      </c>
      <c r="L220" s="59">
        <f t="shared" si="117"/>
        <v>53134.957510000007</v>
      </c>
      <c r="M220" s="59">
        <f t="shared" si="117"/>
        <v>53134.957510000007</v>
      </c>
      <c r="N220" s="59">
        <f t="shared" si="117"/>
        <v>126.04248999999254</v>
      </c>
      <c r="O220" s="68">
        <f>M220/I220*100</f>
        <v>99.763349373838281</v>
      </c>
      <c r="P220" s="71">
        <f t="shared" si="109"/>
        <v>4212.9144500000039</v>
      </c>
      <c r="Q220" s="35">
        <f t="shared" si="110"/>
        <v>20377.128039999989</v>
      </c>
      <c r="R220" s="72">
        <v>1103791</v>
      </c>
      <c r="S220" s="72">
        <f t="shared" si="111"/>
        <v>894564.04249000002</v>
      </c>
      <c r="T220" s="62">
        <f t="shared" si="81"/>
        <v>890351.12803999998</v>
      </c>
    </row>
    <row r="221" spans="1:21">
      <c r="A221" s="100"/>
      <c r="B221" s="8"/>
      <c r="C221" s="8"/>
      <c r="D221" s="17" t="s">
        <v>7</v>
      </c>
      <c r="E221" s="10"/>
      <c r="F221" s="140" t="s">
        <v>85</v>
      </c>
      <c r="G221" s="59">
        <f>SUM(G222:G237)</f>
        <v>947699</v>
      </c>
      <c r="H221" s="59">
        <f t="shared" ref="H221:I221" si="118">SUM(H222:H237)</f>
        <v>77725</v>
      </c>
      <c r="I221" s="59">
        <f t="shared" si="118"/>
        <v>53261</v>
      </c>
      <c r="J221" s="29">
        <f>SUM(J222:J237)</f>
        <v>57347.871960000011</v>
      </c>
      <c r="K221" s="29">
        <f>SUM(K222:K237)</f>
        <v>0</v>
      </c>
      <c r="L221" s="29">
        <f t="shared" ref="L221" si="119">SUM(L222:L237)</f>
        <v>53134.957510000007</v>
      </c>
      <c r="M221" s="102">
        <f t="shared" ref="M221:M247" si="120">K221+L221</f>
        <v>53134.957510000007</v>
      </c>
      <c r="N221" s="102">
        <f t="shared" ref="N221:N223" si="121">I221-M221</f>
        <v>126.04248999999254</v>
      </c>
      <c r="O221" s="68">
        <f>M221/I221*100</f>
        <v>99.763349373838281</v>
      </c>
      <c r="P221" s="71">
        <f t="shared" si="109"/>
        <v>4212.9144500000039</v>
      </c>
      <c r="Q221" s="35">
        <f t="shared" si="110"/>
        <v>20377.128039999989</v>
      </c>
      <c r="R221" s="72">
        <v>1103792</v>
      </c>
      <c r="S221" s="72">
        <f t="shared" si="111"/>
        <v>894564.04249000002</v>
      </c>
      <c r="T221" s="62">
        <f t="shared" ref="T221:T237" si="122">G221-J221</f>
        <v>890351.12803999998</v>
      </c>
    </row>
    <row r="222" spans="1:21">
      <c r="A222" s="100"/>
      <c r="B222" s="9"/>
      <c r="C222" s="9"/>
      <c r="D222" s="69"/>
      <c r="E222" s="69">
        <v>111</v>
      </c>
      <c r="F222" s="136" t="s">
        <v>86</v>
      </c>
      <c r="G222" s="26">
        <v>686021</v>
      </c>
      <c r="H222" s="26">
        <v>50000</v>
      </c>
      <c r="I222" s="26">
        <v>50000</v>
      </c>
      <c r="J222" s="105">
        <f>M222</f>
        <v>49999.999000000003</v>
      </c>
      <c r="K222" s="35"/>
      <c r="L222" s="27">
        <v>49999.999000000003</v>
      </c>
      <c r="M222" s="92">
        <f t="shared" si="120"/>
        <v>49999.999000000003</v>
      </c>
      <c r="N222" s="93">
        <f t="shared" si="121"/>
        <v>9.9999999656574801E-4</v>
      </c>
      <c r="O222" s="70">
        <f t="shared" ref="O222:O237" si="123">M222/I222*100</f>
        <v>99.999998000000005</v>
      </c>
      <c r="P222" s="71">
        <f t="shared" si="109"/>
        <v>0</v>
      </c>
      <c r="Q222" s="35">
        <f t="shared" si="110"/>
        <v>9.9999999656574801E-4</v>
      </c>
      <c r="R222" s="72">
        <v>1103793</v>
      </c>
      <c r="S222" s="72">
        <f t="shared" si="111"/>
        <v>636021.00100000005</v>
      </c>
      <c r="T222" s="62">
        <f t="shared" si="122"/>
        <v>636021.00100000005</v>
      </c>
    </row>
    <row r="223" spans="1:21">
      <c r="A223" s="100"/>
      <c r="B223" s="9"/>
      <c r="C223" s="9"/>
      <c r="D223" s="69"/>
      <c r="E223" s="69">
        <v>112</v>
      </c>
      <c r="F223" s="136" t="s">
        <v>87</v>
      </c>
      <c r="G223" s="26"/>
      <c r="H223" s="26"/>
      <c r="I223" s="26"/>
      <c r="J223" s="105">
        <f t="shared" ref="J223:J237" si="124">M223</f>
        <v>0</v>
      </c>
      <c r="K223" s="35"/>
      <c r="L223" s="27"/>
      <c r="M223" s="92">
        <f t="shared" si="120"/>
        <v>0</v>
      </c>
      <c r="N223" s="93">
        <f t="shared" si="121"/>
        <v>0</v>
      </c>
      <c r="O223" s="70" t="e">
        <f t="shared" si="123"/>
        <v>#DIV/0!</v>
      </c>
      <c r="P223" s="71">
        <f t="shared" si="109"/>
        <v>0</v>
      </c>
      <c r="Q223" s="35">
        <f t="shared" si="110"/>
        <v>0</v>
      </c>
      <c r="R223" s="72">
        <v>1103794</v>
      </c>
      <c r="S223" s="72">
        <f t="shared" si="111"/>
        <v>0</v>
      </c>
    </row>
    <row r="224" spans="1:21">
      <c r="A224" s="100"/>
      <c r="B224" s="9"/>
      <c r="C224" s="9"/>
      <c r="D224" s="69"/>
      <c r="E224" s="76">
        <v>113</v>
      </c>
      <c r="F224" s="136" t="s">
        <v>88</v>
      </c>
      <c r="G224" s="26">
        <v>32776</v>
      </c>
      <c r="H224" s="26">
        <v>361</v>
      </c>
      <c r="I224" s="26">
        <v>361</v>
      </c>
      <c r="J224" s="105">
        <f t="shared" si="124"/>
        <v>360.31099999999998</v>
      </c>
      <c r="K224" s="35"/>
      <c r="L224" s="27">
        <v>360.31099999999998</v>
      </c>
      <c r="M224" s="92">
        <f t="shared" si="120"/>
        <v>360.31099999999998</v>
      </c>
      <c r="N224" s="93">
        <f>I224-M224</f>
        <v>0.68900000000002137</v>
      </c>
      <c r="O224" s="70">
        <f t="shared" si="123"/>
        <v>99.809141274238229</v>
      </c>
      <c r="P224" s="71">
        <f t="shared" si="109"/>
        <v>0</v>
      </c>
      <c r="Q224" s="35">
        <f t="shared" si="110"/>
        <v>0.68900000000002137</v>
      </c>
      <c r="R224" s="72">
        <v>1103795</v>
      </c>
      <c r="S224" s="72">
        <f t="shared" si="111"/>
        <v>32415.688999999998</v>
      </c>
      <c r="T224" s="62">
        <f t="shared" si="122"/>
        <v>32415.688999999998</v>
      </c>
    </row>
    <row r="225" spans="1:20">
      <c r="A225" s="100"/>
      <c r="B225" s="9"/>
      <c r="C225" s="9"/>
      <c r="D225" s="69"/>
      <c r="E225" s="69">
        <v>116</v>
      </c>
      <c r="F225" s="136" t="s">
        <v>89</v>
      </c>
      <c r="G225" s="26">
        <v>24011</v>
      </c>
      <c r="H225" s="26">
        <v>82</v>
      </c>
      <c r="I225" s="26">
        <v>82</v>
      </c>
      <c r="J225" s="105">
        <f t="shared" si="124"/>
        <v>81.260000000000005</v>
      </c>
      <c r="K225" s="35"/>
      <c r="L225" s="27">
        <v>81.260000000000005</v>
      </c>
      <c r="M225" s="92">
        <f>K225+L225</f>
        <v>81.260000000000005</v>
      </c>
      <c r="N225" s="93">
        <f>I225-M225</f>
        <v>0.73999999999999488</v>
      </c>
      <c r="O225" s="70">
        <f>M225/I225*100</f>
        <v>99.097560975609767</v>
      </c>
      <c r="P225" s="71">
        <f t="shared" si="109"/>
        <v>0</v>
      </c>
      <c r="Q225" s="35">
        <f t="shared" si="110"/>
        <v>0.73999999999999488</v>
      </c>
      <c r="R225" s="72">
        <v>1103796</v>
      </c>
      <c r="S225" s="72">
        <f t="shared" si="111"/>
        <v>23929.74</v>
      </c>
    </row>
    <row r="226" spans="1:20">
      <c r="A226" s="100"/>
      <c r="B226" s="9"/>
      <c r="C226" s="9"/>
      <c r="D226" s="69"/>
      <c r="E226" s="69">
        <v>121</v>
      </c>
      <c r="F226" s="136" t="s">
        <v>90</v>
      </c>
      <c r="G226" s="26">
        <v>35536</v>
      </c>
      <c r="H226" s="26"/>
      <c r="I226" s="26"/>
      <c r="J226" s="105">
        <f t="shared" si="124"/>
        <v>0</v>
      </c>
      <c r="K226" s="35"/>
      <c r="L226" s="27"/>
      <c r="M226" s="92">
        <f>K226+L226</f>
        <v>0</v>
      </c>
      <c r="N226" s="93">
        <f>I226-M226</f>
        <v>0</v>
      </c>
      <c r="O226" s="70" t="e">
        <f>M226/I226*100</f>
        <v>#DIV/0!</v>
      </c>
      <c r="P226" s="71">
        <f t="shared" si="109"/>
        <v>0</v>
      </c>
      <c r="Q226" s="35">
        <f t="shared" si="110"/>
        <v>0</v>
      </c>
      <c r="R226" s="72">
        <v>1103797</v>
      </c>
      <c r="S226" s="72">
        <f t="shared" si="111"/>
        <v>35536</v>
      </c>
      <c r="T226" s="62">
        <f t="shared" si="122"/>
        <v>35536</v>
      </c>
    </row>
    <row r="227" spans="1:20" ht="25.5">
      <c r="A227" s="100"/>
      <c r="B227" s="9"/>
      <c r="C227" s="9"/>
      <c r="D227" s="69"/>
      <c r="E227" s="69">
        <v>122</v>
      </c>
      <c r="F227" s="136" t="s">
        <v>91</v>
      </c>
      <c r="G227" s="26">
        <v>30871</v>
      </c>
      <c r="H227" s="26">
        <v>1570</v>
      </c>
      <c r="I227" s="26">
        <v>1570</v>
      </c>
      <c r="J227" s="105">
        <f t="shared" si="124"/>
        <v>1568.713</v>
      </c>
      <c r="K227" s="35"/>
      <c r="L227" s="27">
        <v>1568.713</v>
      </c>
      <c r="M227" s="92">
        <f t="shared" si="120"/>
        <v>1568.713</v>
      </c>
      <c r="N227" s="93">
        <f t="shared" ref="N227:N244" si="125">I227-M227</f>
        <v>1.2870000000000346</v>
      </c>
      <c r="O227" s="70">
        <f t="shared" si="123"/>
        <v>99.918025477707005</v>
      </c>
      <c r="P227" s="71">
        <f t="shared" si="109"/>
        <v>0</v>
      </c>
      <c r="Q227" s="35">
        <f t="shared" si="110"/>
        <v>1.2870000000000346</v>
      </c>
      <c r="R227" s="72">
        <v>1103798</v>
      </c>
      <c r="S227" s="72">
        <f t="shared" si="111"/>
        <v>29302.287</v>
      </c>
      <c r="T227" s="62">
        <f t="shared" si="122"/>
        <v>29302.287</v>
      </c>
    </row>
    <row r="228" spans="1:20">
      <c r="A228" s="100"/>
      <c r="B228" s="9"/>
      <c r="C228" s="9"/>
      <c r="D228" s="69"/>
      <c r="E228" s="69">
        <v>123</v>
      </c>
      <c r="F228" s="136" t="s">
        <v>92</v>
      </c>
      <c r="G228" s="26">
        <v>342</v>
      </c>
      <c r="H228" s="26"/>
      <c r="I228" s="26"/>
      <c r="J228" s="105">
        <f t="shared" si="124"/>
        <v>0</v>
      </c>
      <c r="K228" s="35"/>
      <c r="L228" s="27"/>
      <c r="M228" s="92">
        <f t="shared" si="120"/>
        <v>0</v>
      </c>
      <c r="N228" s="93">
        <f t="shared" si="125"/>
        <v>0</v>
      </c>
      <c r="O228" s="70" t="e">
        <f t="shared" si="123"/>
        <v>#DIV/0!</v>
      </c>
      <c r="P228" s="71">
        <f t="shared" si="109"/>
        <v>0</v>
      </c>
      <c r="Q228" s="35">
        <f t="shared" si="110"/>
        <v>0</v>
      </c>
      <c r="R228" s="72">
        <v>1103799</v>
      </c>
      <c r="S228" s="72">
        <f t="shared" si="111"/>
        <v>342</v>
      </c>
    </row>
    <row r="229" spans="1:20">
      <c r="A229" s="100"/>
      <c r="B229" s="9"/>
      <c r="C229" s="9"/>
      <c r="D229" s="69"/>
      <c r="E229" s="69">
        <v>124</v>
      </c>
      <c r="F229" s="136" t="s">
        <v>93</v>
      </c>
      <c r="G229" s="26">
        <v>20581</v>
      </c>
      <c r="H229" s="26"/>
      <c r="I229" s="26"/>
      <c r="J229" s="105">
        <f t="shared" si="124"/>
        <v>0</v>
      </c>
      <c r="K229" s="35"/>
      <c r="L229" s="27"/>
      <c r="M229" s="92">
        <f t="shared" si="120"/>
        <v>0</v>
      </c>
      <c r="N229" s="93">
        <f t="shared" si="125"/>
        <v>0</v>
      </c>
      <c r="O229" s="70" t="e">
        <f t="shared" si="123"/>
        <v>#DIV/0!</v>
      </c>
      <c r="P229" s="71">
        <f t="shared" si="109"/>
        <v>0</v>
      </c>
      <c r="Q229" s="35">
        <f t="shared" si="110"/>
        <v>0</v>
      </c>
      <c r="R229" s="72">
        <v>1103800</v>
      </c>
      <c r="S229" s="72">
        <f t="shared" si="111"/>
        <v>20581</v>
      </c>
      <c r="T229" s="62">
        <f t="shared" si="122"/>
        <v>20581</v>
      </c>
    </row>
    <row r="230" spans="1:20">
      <c r="A230" s="100"/>
      <c r="B230" s="9"/>
      <c r="C230" s="9"/>
      <c r="D230" s="69"/>
      <c r="E230" s="69">
        <v>144</v>
      </c>
      <c r="F230" s="136" t="s">
        <v>97</v>
      </c>
      <c r="G230" s="26">
        <v>9873</v>
      </c>
      <c r="H230" s="26"/>
      <c r="I230" s="26"/>
      <c r="J230" s="105">
        <f t="shared" si="124"/>
        <v>0</v>
      </c>
      <c r="K230" s="35"/>
      <c r="L230" s="27"/>
      <c r="M230" s="92">
        <f t="shared" si="120"/>
        <v>0</v>
      </c>
      <c r="N230" s="93">
        <f t="shared" si="125"/>
        <v>0</v>
      </c>
      <c r="O230" s="70" t="e">
        <f t="shared" si="123"/>
        <v>#DIV/0!</v>
      </c>
      <c r="P230" s="71">
        <f t="shared" si="109"/>
        <v>0</v>
      </c>
      <c r="Q230" s="35">
        <f t="shared" si="110"/>
        <v>0</v>
      </c>
      <c r="R230" s="72">
        <v>1103801</v>
      </c>
      <c r="S230" s="72">
        <f t="shared" si="111"/>
        <v>9873</v>
      </c>
      <c r="T230" s="62">
        <f t="shared" si="122"/>
        <v>9873</v>
      </c>
    </row>
    <row r="231" spans="1:20">
      <c r="A231" s="100"/>
      <c r="B231" s="9"/>
      <c r="C231" s="9"/>
      <c r="D231" s="69"/>
      <c r="E231" s="69">
        <v>149</v>
      </c>
      <c r="F231" s="136" t="s">
        <v>98</v>
      </c>
      <c r="G231" s="26">
        <v>21813</v>
      </c>
      <c r="H231" s="26"/>
      <c r="I231" s="26"/>
      <c r="J231" s="105">
        <f t="shared" si="124"/>
        <v>0</v>
      </c>
      <c r="K231" s="35"/>
      <c r="L231" s="27"/>
      <c r="M231" s="92">
        <f t="shared" si="120"/>
        <v>0</v>
      </c>
      <c r="N231" s="93">
        <f t="shared" si="125"/>
        <v>0</v>
      </c>
      <c r="O231" s="70" t="e">
        <f t="shared" si="123"/>
        <v>#DIV/0!</v>
      </c>
      <c r="P231" s="71">
        <f t="shared" si="109"/>
        <v>0</v>
      </c>
      <c r="Q231" s="35">
        <f t="shared" si="110"/>
        <v>0</v>
      </c>
      <c r="R231" s="72">
        <v>1103802</v>
      </c>
      <c r="S231" s="72">
        <f t="shared" si="111"/>
        <v>21813</v>
      </c>
      <c r="T231" s="62">
        <f t="shared" si="122"/>
        <v>21813</v>
      </c>
    </row>
    <row r="232" spans="1:20">
      <c r="A232" s="100"/>
      <c r="B232" s="9"/>
      <c r="C232" s="9"/>
      <c r="D232" s="69"/>
      <c r="E232" s="69">
        <v>151</v>
      </c>
      <c r="F232" s="136" t="s">
        <v>99</v>
      </c>
      <c r="G232" s="26">
        <v>10168</v>
      </c>
      <c r="H232" s="26">
        <v>1128</v>
      </c>
      <c r="I232" s="26">
        <v>1128</v>
      </c>
      <c r="J232" s="105">
        <v>330.46699999999998</v>
      </c>
      <c r="K232" s="35"/>
      <c r="L232" s="27">
        <v>1093.6782800000001</v>
      </c>
      <c r="M232" s="92">
        <f t="shared" si="120"/>
        <v>1093.6782800000001</v>
      </c>
      <c r="N232" s="93">
        <f t="shared" si="125"/>
        <v>34.321719999999914</v>
      </c>
      <c r="O232" s="70">
        <f t="shared" si="123"/>
        <v>96.95729432624114</v>
      </c>
      <c r="P232" s="71">
        <f t="shared" si="109"/>
        <v>-763.2112800000001</v>
      </c>
      <c r="Q232" s="35">
        <f t="shared" si="110"/>
        <v>797.53300000000002</v>
      </c>
      <c r="R232" s="72">
        <v>1103803</v>
      </c>
      <c r="S232" s="72">
        <f t="shared" si="111"/>
        <v>9074.3217199999999</v>
      </c>
      <c r="T232" s="62">
        <f t="shared" si="122"/>
        <v>9837.5329999999994</v>
      </c>
    </row>
    <row r="233" spans="1:20">
      <c r="A233" s="100"/>
      <c r="B233" s="9"/>
      <c r="C233" s="9"/>
      <c r="D233" s="69"/>
      <c r="E233" s="69">
        <v>152</v>
      </c>
      <c r="F233" s="136" t="s">
        <v>100</v>
      </c>
      <c r="G233" s="26">
        <v>34000</v>
      </c>
      <c r="H233" s="26">
        <v>6661</v>
      </c>
      <c r="I233" s="26">
        <v>120</v>
      </c>
      <c r="J233" s="105">
        <v>1325.3620000000001</v>
      </c>
      <c r="K233" s="35"/>
      <c r="L233" s="27">
        <v>30.996230000000001</v>
      </c>
      <c r="M233" s="92">
        <f t="shared" si="120"/>
        <v>30.996230000000001</v>
      </c>
      <c r="N233" s="93">
        <f t="shared" si="125"/>
        <v>89.003770000000003</v>
      </c>
      <c r="O233" s="70">
        <f t="shared" si="123"/>
        <v>25.830191666666668</v>
      </c>
      <c r="P233" s="71">
        <f t="shared" si="109"/>
        <v>1294.3657700000001</v>
      </c>
      <c r="Q233" s="35">
        <f t="shared" si="110"/>
        <v>5335.6379999999999</v>
      </c>
      <c r="R233" s="72">
        <v>1103804</v>
      </c>
      <c r="S233" s="72">
        <f t="shared" si="111"/>
        <v>33969.003770000003</v>
      </c>
      <c r="T233" s="62">
        <f t="shared" si="122"/>
        <v>32674.637999999999</v>
      </c>
    </row>
    <row r="234" spans="1:20" ht="25.5">
      <c r="A234" s="100"/>
      <c r="B234" s="9"/>
      <c r="C234" s="9"/>
      <c r="D234" s="69"/>
      <c r="E234" s="69">
        <v>158</v>
      </c>
      <c r="F234" s="136" t="s">
        <v>101</v>
      </c>
      <c r="G234" s="26">
        <v>3657</v>
      </c>
      <c r="H234" s="26">
        <v>3657</v>
      </c>
      <c r="I234" s="26"/>
      <c r="J234" s="105">
        <f t="shared" si="124"/>
        <v>0</v>
      </c>
      <c r="K234" s="35"/>
      <c r="L234" s="27"/>
      <c r="M234" s="92">
        <f t="shared" si="120"/>
        <v>0</v>
      </c>
      <c r="N234" s="93">
        <f t="shared" si="125"/>
        <v>0</v>
      </c>
      <c r="O234" s="70" t="e">
        <f t="shared" si="123"/>
        <v>#DIV/0!</v>
      </c>
      <c r="P234" s="71">
        <f t="shared" si="109"/>
        <v>0</v>
      </c>
      <c r="Q234" s="35">
        <f t="shared" si="110"/>
        <v>3657</v>
      </c>
      <c r="R234" s="72">
        <v>1103805</v>
      </c>
      <c r="S234" s="72">
        <f t="shared" si="111"/>
        <v>3657</v>
      </c>
      <c r="T234" s="62">
        <f t="shared" si="122"/>
        <v>3657</v>
      </c>
    </row>
    <row r="235" spans="1:20">
      <c r="A235" s="100"/>
      <c r="B235" s="9"/>
      <c r="C235" s="9"/>
      <c r="D235" s="69"/>
      <c r="E235" s="69">
        <v>159</v>
      </c>
      <c r="F235" s="136" t="s">
        <v>84</v>
      </c>
      <c r="G235" s="26">
        <v>28010</v>
      </c>
      <c r="H235" s="26">
        <v>14266</v>
      </c>
      <c r="I235" s="26"/>
      <c r="J235" s="105">
        <v>3681.7599599999999</v>
      </c>
      <c r="K235" s="35"/>
      <c r="L235" s="27"/>
      <c r="M235" s="92">
        <f t="shared" si="120"/>
        <v>0</v>
      </c>
      <c r="N235" s="93">
        <f t="shared" si="125"/>
        <v>0</v>
      </c>
      <c r="O235" s="70" t="e">
        <f t="shared" si="123"/>
        <v>#DIV/0!</v>
      </c>
      <c r="P235" s="71">
        <f t="shared" si="109"/>
        <v>3681.7599599999999</v>
      </c>
      <c r="Q235" s="35">
        <f t="shared" si="110"/>
        <v>10584.240040000001</v>
      </c>
      <c r="R235" s="72">
        <v>1103806</v>
      </c>
      <c r="S235" s="72">
        <f t="shared" si="111"/>
        <v>28010</v>
      </c>
      <c r="T235" s="62">
        <f t="shared" si="122"/>
        <v>24328.240040000001</v>
      </c>
    </row>
    <row r="236" spans="1:20">
      <c r="A236" s="100"/>
      <c r="B236" s="9"/>
      <c r="C236" s="9"/>
      <c r="D236" s="69"/>
      <c r="E236" s="69">
        <v>161</v>
      </c>
      <c r="F236" s="136" t="s">
        <v>102</v>
      </c>
      <c r="G236" s="26">
        <v>9868</v>
      </c>
      <c r="H236" s="26"/>
      <c r="I236" s="26"/>
      <c r="J236" s="105">
        <f t="shared" si="124"/>
        <v>0</v>
      </c>
      <c r="K236" s="35"/>
      <c r="L236" s="27"/>
      <c r="M236" s="92">
        <f t="shared" si="120"/>
        <v>0</v>
      </c>
      <c r="N236" s="93">
        <f t="shared" si="125"/>
        <v>0</v>
      </c>
      <c r="O236" s="70" t="e">
        <f t="shared" si="123"/>
        <v>#DIV/0!</v>
      </c>
      <c r="P236" s="71">
        <f t="shared" si="109"/>
        <v>0</v>
      </c>
      <c r="Q236" s="35">
        <f t="shared" si="110"/>
        <v>0</v>
      </c>
      <c r="R236" s="72">
        <v>1103807</v>
      </c>
      <c r="S236" s="72">
        <f t="shared" si="111"/>
        <v>9868</v>
      </c>
      <c r="T236" s="62">
        <f t="shared" si="122"/>
        <v>9868</v>
      </c>
    </row>
    <row r="237" spans="1:20">
      <c r="A237" s="100"/>
      <c r="B237" s="9"/>
      <c r="C237" s="9"/>
      <c r="D237" s="69"/>
      <c r="E237" s="69">
        <v>169</v>
      </c>
      <c r="F237" s="136" t="s">
        <v>103</v>
      </c>
      <c r="G237" s="26">
        <v>172</v>
      </c>
      <c r="H237" s="26"/>
      <c r="I237" s="26"/>
      <c r="J237" s="105">
        <f t="shared" si="124"/>
        <v>0</v>
      </c>
      <c r="K237" s="35"/>
      <c r="L237" s="27"/>
      <c r="M237" s="92">
        <f>K237+L237</f>
        <v>0</v>
      </c>
      <c r="N237" s="93">
        <f t="shared" si="125"/>
        <v>0</v>
      </c>
      <c r="O237" s="70" t="e">
        <f t="shared" si="123"/>
        <v>#DIV/0!</v>
      </c>
      <c r="P237" s="71">
        <f t="shared" si="109"/>
        <v>0</v>
      </c>
      <c r="Q237" s="35">
        <f t="shared" si="110"/>
        <v>0</v>
      </c>
      <c r="R237" s="72">
        <v>1103808</v>
      </c>
      <c r="S237" s="72">
        <f t="shared" si="111"/>
        <v>172</v>
      </c>
      <c r="T237" s="62">
        <f t="shared" si="122"/>
        <v>172</v>
      </c>
    </row>
    <row r="238" spans="1:20" ht="25.5">
      <c r="A238" s="100"/>
      <c r="B238" s="15"/>
      <c r="C238" s="57" t="s">
        <v>43</v>
      </c>
      <c r="D238" s="16"/>
      <c r="E238" s="20"/>
      <c r="F238" s="139" t="s">
        <v>119</v>
      </c>
      <c r="G238" s="59">
        <f t="shared" ref="G238:N238" si="126">G239</f>
        <v>0</v>
      </c>
      <c r="H238" s="59">
        <f t="shared" si="126"/>
        <v>0</v>
      </c>
      <c r="I238" s="59">
        <f t="shared" si="126"/>
        <v>0</v>
      </c>
      <c r="J238" s="29">
        <f t="shared" si="126"/>
        <v>0</v>
      </c>
      <c r="K238" s="33">
        <f t="shared" si="126"/>
        <v>0</v>
      </c>
      <c r="L238" s="29">
        <f t="shared" si="126"/>
        <v>0</v>
      </c>
      <c r="M238" s="29">
        <f t="shared" si="126"/>
        <v>0</v>
      </c>
      <c r="N238" s="29">
        <f t="shared" si="126"/>
        <v>0</v>
      </c>
      <c r="O238" s="70"/>
      <c r="P238" s="71">
        <f t="shared" si="109"/>
        <v>0</v>
      </c>
      <c r="Q238" s="35">
        <f t="shared" si="110"/>
        <v>0</v>
      </c>
      <c r="R238" s="72">
        <v>1103809</v>
      </c>
      <c r="S238" s="72">
        <f t="shared" si="111"/>
        <v>0</v>
      </c>
    </row>
    <row r="239" spans="1:20">
      <c r="A239" s="9"/>
      <c r="B239" s="12"/>
      <c r="C239" s="12"/>
      <c r="D239" s="11" t="s">
        <v>7</v>
      </c>
      <c r="E239" s="97"/>
      <c r="F239" s="122" t="s">
        <v>85</v>
      </c>
      <c r="G239" s="98">
        <f>G240+G241</f>
        <v>0</v>
      </c>
      <c r="H239" s="98">
        <f t="shared" ref="H239:N239" si="127">H240+H241</f>
        <v>0</v>
      </c>
      <c r="I239" s="98">
        <f t="shared" si="127"/>
        <v>0</v>
      </c>
      <c r="J239" s="98">
        <f t="shared" si="127"/>
        <v>0</v>
      </c>
      <c r="K239" s="98">
        <f t="shared" si="127"/>
        <v>0</v>
      </c>
      <c r="L239" s="32">
        <f t="shared" si="127"/>
        <v>0</v>
      </c>
      <c r="M239" s="32">
        <f t="shared" si="127"/>
        <v>0</v>
      </c>
      <c r="N239" s="32">
        <f t="shared" si="127"/>
        <v>0</v>
      </c>
      <c r="O239" s="68" t="e">
        <f>M239/I239*100</f>
        <v>#DIV/0!</v>
      </c>
      <c r="P239" s="71">
        <f t="shared" si="109"/>
        <v>0</v>
      </c>
      <c r="Q239" s="35">
        <f t="shared" si="110"/>
        <v>0</v>
      </c>
      <c r="R239" s="72">
        <v>1103810</v>
      </c>
      <c r="S239" s="72">
        <f t="shared" si="111"/>
        <v>0</v>
      </c>
      <c r="T239" s="62">
        <f>G239-J239</f>
        <v>0</v>
      </c>
    </row>
    <row r="240" spans="1:20" ht="25.5">
      <c r="A240" s="100"/>
      <c r="B240" s="15"/>
      <c r="C240" s="15"/>
      <c r="D240" s="16"/>
      <c r="E240" s="20">
        <v>414</v>
      </c>
      <c r="F240" s="50" t="s">
        <v>105</v>
      </c>
      <c r="G240" s="37"/>
      <c r="H240" s="37"/>
      <c r="I240" s="37"/>
      <c r="J240" s="75">
        <f>M240</f>
        <v>0</v>
      </c>
      <c r="K240" s="35"/>
      <c r="L240" s="35"/>
      <c r="M240" s="93">
        <f>K240+L240</f>
        <v>0</v>
      </c>
      <c r="N240" s="93">
        <f t="shared" ref="N240:N241" si="128">I240-M240</f>
        <v>0</v>
      </c>
      <c r="O240" s="70" t="e">
        <f t="shared" ref="O240:O241" si="129">M240/I240*100</f>
        <v>#DIV/0!</v>
      </c>
      <c r="P240" s="71">
        <f t="shared" si="109"/>
        <v>0</v>
      </c>
      <c r="Q240" s="35">
        <f t="shared" si="110"/>
        <v>0</v>
      </c>
      <c r="R240" s="72">
        <v>1103811</v>
      </c>
      <c r="S240" s="72">
        <f t="shared" si="111"/>
        <v>0</v>
      </c>
    </row>
    <row r="241" spans="1:20">
      <c r="A241" s="100"/>
      <c r="B241" s="15"/>
      <c r="C241" s="15"/>
      <c r="D241" s="16"/>
      <c r="E241" s="20">
        <v>419</v>
      </c>
      <c r="F241" s="86" t="s">
        <v>153</v>
      </c>
      <c r="G241" s="37"/>
      <c r="H241" s="37"/>
      <c r="I241" s="37"/>
      <c r="J241" s="75">
        <f>M241</f>
        <v>0</v>
      </c>
      <c r="K241" s="35"/>
      <c r="L241" s="35"/>
      <c r="M241" s="92">
        <f>K241+L241</f>
        <v>0</v>
      </c>
      <c r="N241" s="93">
        <f t="shared" si="128"/>
        <v>0</v>
      </c>
      <c r="O241" s="70" t="e">
        <f t="shared" si="129"/>
        <v>#DIV/0!</v>
      </c>
      <c r="P241" s="71">
        <f t="shared" si="109"/>
        <v>0</v>
      </c>
      <c r="Q241" s="35">
        <f t="shared" si="110"/>
        <v>0</v>
      </c>
      <c r="R241" s="72">
        <v>1103812</v>
      </c>
      <c r="S241" s="72">
        <f t="shared" si="111"/>
        <v>0</v>
      </c>
    </row>
    <row r="242" spans="1:20" s="73" customFormat="1">
      <c r="A242" s="103"/>
      <c r="B242" s="8"/>
      <c r="C242" s="17" t="s">
        <v>30</v>
      </c>
      <c r="D242" s="21"/>
      <c r="E242" s="21"/>
      <c r="F242" s="139" t="s">
        <v>129</v>
      </c>
      <c r="G242" s="23">
        <f>G243+G245+G248</f>
        <v>6982605</v>
      </c>
      <c r="H242" s="23">
        <f>H243+H245+H248</f>
        <v>7792</v>
      </c>
      <c r="I242" s="23">
        <f>I243+I245+I248</f>
        <v>7792</v>
      </c>
      <c r="J242" s="25">
        <f t="shared" ref="J242:N242" si="130">J243+J245+J248</f>
        <v>7761.6379999999999</v>
      </c>
      <c r="K242" s="38">
        <f t="shared" si="130"/>
        <v>0</v>
      </c>
      <c r="L242" s="38">
        <f t="shared" si="130"/>
        <v>7761.6379999999999</v>
      </c>
      <c r="M242" s="24">
        <f>M243+M245+M248</f>
        <v>7761.6379999999999</v>
      </c>
      <c r="N242" s="24">
        <f t="shared" si="130"/>
        <v>30.36200000000008</v>
      </c>
      <c r="O242" s="68">
        <f>M242/I242*100</f>
        <v>99.610343942505125</v>
      </c>
      <c r="P242" s="71">
        <f t="shared" si="109"/>
        <v>0</v>
      </c>
      <c r="Q242" s="35">
        <f t="shared" si="110"/>
        <v>30.36200000000008</v>
      </c>
      <c r="R242" s="72">
        <v>1103813</v>
      </c>
      <c r="S242" s="72">
        <f t="shared" si="111"/>
        <v>6974843.3619999997</v>
      </c>
      <c r="T242" s="62">
        <f t="shared" ref="T242:T261" si="131">G242-J242</f>
        <v>6974843.3619999997</v>
      </c>
    </row>
    <row r="243" spans="1:20">
      <c r="A243" s="100"/>
      <c r="B243" s="8"/>
      <c r="C243" s="8"/>
      <c r="D243" s="17" t="s">
        <v>31</v>
      </c>
      <c r="E243" s="10"/>
      <c r="F243" s="140" t="s">
        <v>130</v>
      </c>
      <c r="G243" s="59">
        <f>G244</f>
        <v>3730007</v>
      </c>
      <c r="H243" s="59">
        <f t="shared" ref="H243:N243" si="132">H244</f>
        <v>5742</v>
      </c>
      <c r="I243" s="59">
        <f t="shared" si="132"/>
        <v>5742</v>
      </c>
      <c r="J243" s="33">
        <f t="shared" si="132"/>
        <v>5742</v>
      </c>
      <c r="K243" s="33">
        <f t="shared" si="132"/>
        <v>0</v>
      </c>
      <c r="L243" s="33">
        <f t="shared" si="132"/>
        <v>5742</v>
      </c>
      <c r="M243" s="60">
        <f t="shared" si="132"/>
        <v>5742</v>
      </c>
      <c r="N243" s="33">
        <f t="shared" si="132"/>
        <v>0</v>
      </c>
      <c r="O243" s="68">
        <f t="shared" ref="O243:O258" si="133">M243/I243*100</f>
        <v>100</v>
      </c>
      <c r="P243" s="71">
        <f t="shared" si="109"/>
        <v>0</v>
      </c>
      <c r="Q243" s="35">
        <f t="shared" si="110"/>
        <v>0</v>
      </c>
      <c r="R243" s="72">
        <v>1103814</v>
      </c>
      <c r="S243" s="72">
        <f t="shared" si="111"/>
        <v>3724265</v>
      </c>
      <c r="T243" s="62">
        <f t="shared" si="131"/>
        <v>3724265</v>
      </c>
    </row>
    <row r="244" spans="1:20">
      <c r="A244" s="100"/>
      <c r="B244" s="9"/>
      <c r="C244" s="9"/>
      <c r="D244" s="69"/>
      <c r="E244" s="69">
        <v>159</v>
      </c>
      <c r="F244" s="136" t="s">
        <v>84</v>
      </c>
      <c r="G244" s="26">
        <v>3730007</v>
      </c>
      <c r="H244" s="26">
        <v>5742</v>
      </c>
      <c r="I244" s="26">
        <v>5742</v>
      </c>
      <c r="J244" s="105">
        <f>M244</f>
        <v>5742</v>
      </c>
      <c r="K244" s="35"/>
      <c r="L244" s="27">
        <v>5742</v>
      </c>
      <c r="M244" s="92">
        <f t="shared" si="120"/>
        <v>5742</v>
      </c>
      <c r="N244" s="93">
        <f t="shared" si="125"/>
        <v>0</v>
      </c>
      <c r="O244" s="70">
        <f t="shared" si="133"/>
        <v>100</v>
      </c>
      <c r="P244" s="71">
        <f t="shared" si="109"/>
        <v>0</v>
      </c>
      <c r="Q244" s="35">
        <f t="shared" si="110"/>
        <v>0</v>
      </c>
      <c r="R244" s="72">
        <v>1103815</v>
      </c>
      <c r="S244" s="72">
        <f t="shared" si="111"/>
        <v>3724265</v>
      </c>
      <c r="T244" s="62">
        <f t="shared" si="131"/>
        <v>3724265</v>
      </c>
    </row>
    <row r="245" spans="1:20">
      <c r="A245" s="100"/>
      <c r="B245" s="8"/>
      <c r="C245" s="8"/>
      <c r="D245" s="17" t="s">
        <v>32</v>
      </c>
      <c r="E245" s="10"/>
      <c r="F245" s="140" t="s">
        <v>131</v>
      </c>
      <c r="G245" s="59">
        <f>G246+G247</f>
        <v>32846</v>
      </c>
      <c r="H245" s="59">
        <f t="shared" ref="H245:M245" si="134">H246+H247</f>
        <v>0</v>
      </c>
      <c r="I245" s="59">
        <f t="shared" si="134"/>
        <v>0</v>
      </c>
      <c r="J245" s="33">
        <f t="shared" si="134"/>
        <v>0</v>
      </c>
      <c r="K245" s="59">
        <f t="shared" si="134"/>
        <v>0</v>
      </c>
      <c r="L245" s="59">
        <f t="shared" si="134"/>
        <v>0</v>
      </c>
      <c r="M245" s="29">
        <f t="shared" si="134"/>
        <v>0</v>
      </c>
      <c r="N245" s="29">
        <f>N246+N247</f>
        <v>0</v>
      </c>
      <c r="O245" s="68" t="e">
        <f t="shared" ref="O245" si="135">O246</f>
        <v>#DIV/0!</v>
      </c>
      <c r="P245" s="71">
        <f t="shared" si="109"/>
        <v>0</v>
      </c>
      <c r="Q245" s="35">
        <f t="shared" si="110"/>
        <v>0</v>
      </c>
      <c r="R245" s="72">
        <v>1103816</v>
      </c>
      <c r="S245" s="72">
        <f t="shared" si="111"/>
        <v>32846</v>
      </c>
      <c r="T245" s="62">
        <f t="shared" si="131"/>
        <v>32846</v>
      </c>
    </row>
    <row r="246" spans="1:20">
      <c r="A246" s="100"/>
      <c r="B246" s="9"/>
      <c r="C246" s="9"/>
      <c r="D246" s="69"/>
      <c r="E246" s="69">
        <v>159</v>
      </c>
      <c r="F246" s="136" t="s">
        <v>84</v>
      </c>
      <c r="G246" s="26">
        <v>32846</v>
      </c>
      <c r="H246" s="26"/>
      <c r="I246" s="26"/>
      <c r="J246" s="105">
        <f>M246</f>
        <v>0</v>
      </c>
      <c r="K246" s="35"/>
      <c r="L246" s="27"/>
      <c r="M246" s="92">
        <f t="shared" si="120"/>
        <v>0</v>
      </c>
      <c r="N246" s="93">
        <f>I246-M246</f>
        <v>0</v>
      </c>
      <c r="O246" s="70" t="e">
        <f t="shared" si="133"/>
        <v>#DIV/0!</v>
      </c>
      <c r="P246" s="71">
        <f t="shared" si="109"/>
        <v>0</v>
      </c>
      <c r="Q246" s="35">
        <f t="shared" si="110"/>
        <v>0</v>
      </c>
      <c r="R246" s="72">
        <v>1103817</v>
      </c>
      <c r="S246" s="72">
        <f t="shared" si="111"/>
        <v>32846</v>
      </c>
      <c r="T246" s="62">
        <f t="shared" si="131"/>
        <v>32846</v>
      </c>
    </row>
    <row r="247" spans="1:20">
      <c r="A247" s="100"/>
      <c r="B247" s="9"/>
      <c r="C247" s="9"/>
      <c r="D247" s="69"/>
      <c r="E247" s="69">
        <v>322</v>
      </c>
      <c r="F247" s="133" t="s">
        <v>82</v>
      </c>
      <c r="G247" s="26"/>
      <c r="H247" s="26"/>
      <c r="I247" s="26"/>
      <c r="J247" s="105">
        <f>M247</f>
        <v>0</v>
      </c>
      <c r="K247" s="35"/>
      <c r="L247" s="27"/>
      <c r="M247" s="92">
        <f t="shared" si="120"/>
        <v>0</v>
      </c>
      <c r="N247" s="93">
        <f>I247-M247</f>
        <v>0</v>
      </c>
      <c r="O247" s="70" t="e">
        <f t="shared" si="133"/>
        <v>#DIV/0!</v>
      </c>
      <c r="P247" s="71">
        <f t="shared" si="109"/>
        <v>0</v>
      </c>
      <c r="Q247" s="35">
        <f t="shared" si="110"/>
        <v>0</v>
      </c>
      <c r="R247" s="72">
        <v>1103818</v>
      </c>
      <c r="S247" s="72">
        <f t="shared" si="111"/>
        <v>0</v>
      </c>
    </row>
    <row r="248" spans="1:20" ht="25.5">
      <c r="A248" s="100"/>
      <c r="B248" s="8"/>
      <c r="C248" s="8"/>
      <c r="D248" s="17" t="s">
        <v>33</v>
      </c>
      <c r="E248" s="10"/>
      <c r="F248" s="140" t="s">
        <v>132</v>
      </c>
      <c r="G248" s="59">
        <f>G249+G257+G258</f>
        <v>3219752</v>
      </c>
      <c r="H248" s="59">
        <f t="shared" ref="H248:N248" si="136">H249+H257+H258</f>
        <v>2050</v>
      </c>
      <c r="I248" s="59">
        <f t="shared" si="136"/>
        <v>2050</v>
      </c>
      <c r="J248" s="59">
        <f t="shared" si="136"/>
        <v>2019.6379999999999</v>
      </c>
      <c r="K248" s="59">
        <f t="shared" si="136"/>
        <v>0</v>
      </c>
      <c r="L248" s="59">
        <f t="shared" si="136"/>
        <v>2019.6379999999999</v>
      </c>
      <c r="M248" s="59">
        <f t="shared" si="136"/>
        <v>2019.6379999999999</v>
      </c>
      <c r="N248" s="59">
        <f t="shared" si="136"/>
        <v>30.36200000000008</v>
      </c>
      <c r="O248" s="68">
        <f>M248/I248*100</f>
        <v>98.518926829268295</v>
      </c>
      <c r="P248" s="71">
        <f t="shared" si="109"/>
        <v>0</v>
      </c>
      <c r="Q248" s="35">
        <f t="shared" si="110"/>
        <v>30.36200000000008</v>
      </c>
      <c r="R248" s="72">
        <v>1103819</v>
      </c>
      <c r="S248" s="72">
        <f t="shared" si="111"/>
        <v>3217732.3620000002</v>
      </c>
      <c r="T248" s="62">
        <f t="shared" si="131"/>
        <v>3217732.3620000002</v>
      </c>
    </row>
    <row r="249" spans="1:20">
      <c r="A249" s="100"/>
      <c r="B249" s="9"/>
      <c r="C249" s="9"/>
      <c r="D249" s="69"/>
      <c r="E249" s="69">
        <v>159</v>
      </c>
      <c r="F249" s="141" t="s">
        <v>84</v>
      </c>
      <c r="G249" s="26">
        <f>SUM(G250:G256)</f>
        <v>2705469</v>
      </c>
      <c r="H249" s="26">
        <f>SUM(H250:H256)</f>
        <v>2050</v>
      </c>
      <c r="I249" s="26">
        <f>SUM(I250:I256)</f>
        <v>2050</v>
      </c>
      <c r="J249" s="105">
        <f>SUM(J250:J256)</f>
        <v>2019.6379999999999</v>
      </c>
      <c r="K249" s="26">
        <f t="shared" ref="K249" si="137">SUM(K250:K256)</f>
        <v>0</v>
      </c>
      <c r="L249" s="27">
        <f>SUM(L250:L256)</f>
        <v>2019.6379999999999</v>
      </c>
      <c r="M249" s="92">
        <f>K249+L249</f>
        <v>2019.6379999999999</v>
      </c>
      <c r="N249" s="93">
        <f>I249-M249</f>
        <v>30.36200000000008</v>
      </c>
      <c r="O249" s="70">
        <f t="shared" si="133"/>
        <v>98.518926829268295</v>
      </c>
      <c r="P249" s="71">
        <f t="shared" si="109"/>
        <v>0</v>
      </c>
      <c r="Q249" s="35">
        <f t="shared" si="110"/>
        <v>30.36200000000008</v>
      </c>
      <c r="R249" s="72">
        <v>1103820</v>
      </c>
      <c r="S249" s="72">
        <f t="shared" si="111"/>
        <v>2703449.3620000002</v>
      </c>
      <c r="T249" s="62">
        <f t="shared" si="131"/>
        <v>2703449.3620000002</v>
      </c>
    </row>
    <row r="250" spans="1:20">
      <c r="A250" s="100"/>
      <c r="B250" s="9"/>
      <c r="C250" s="9"/>
      <c r="D250" s="69"/>
      <c r="E250" s="69"/>
      <c r="F250" s="55" t="s">
        <v>49</v>
      </c>
      <c r="G250" s="26">
        <v>1124154</v>
      </c>
      <c r="H250" s="61">
        <v>2050</v>
      </c>
      <c r="I250" s="61">
        <v>2050</v>
      </c>
      <c r="J250" s="105">
        <f>M250</f>
        <v>2019.6379999999999</v>
      </c>
      <c r="K250" s="35"/>
      <c r="L250" s="61">
        <v>2019.6379999999999</v>
      </c>
      <c r="M250" s="92">
        <f>K250+L250</f>
        <v>2019.6379999999999</v>
      </c>
      <c r="N250" s="93">
        <f t="shared" ref="N250:N256" si="138">I250-M250</f>
        <v>30.36200000000008</v>
      </c>
      <c r="O250" s="70">
        <f t="shared" si="133"/>
        <v>98.518926829268295</v>
      </c>
      <c r="P250" s="71">
        <f t="shared" si="109"/>
        <v>0</v>
      </c>
      <c r="Q250" s="35">
        <f t="shared" si="110"/>
        <v>30.36200000000008</v>
      </c>
      <c r="R250" s="72">
        <v>1103821</v>
      </c>
      <c r="S250" s="72">
        <f t="shared" si="111"/>
        <v>1122134.362</v>
      </c>
    </row>
    <row r="251" spans="1:20">
      <c r="A251" s="100"/>
      <c r="B251" s="9"/>
      <c r="C251" s="9"/>
      <c r="D251" s="69"/>
      <c r="E251" s="69"/>
      <c r="F251" s="55" t="s">
        <v>50</v>
      </c>
      <c r="G251" s="26">
        <v>130399</v>
      </c>
      <c r="H251" s="61"/>
      <c r="I251" s="61"/>
      <c r="J251" s="105">
        <f t="shared" ref="J251:J256" si="139">M251</f>
        <v>0</v>
      </c>
      <c r="K251" s="35"/>
      <c r="L251" s="61"/>
      <c r="M251" s="92">
        <f t="shared" ref="M251:M256" si="140">K251+L251</f>
        <v>0</v>
      </c>
      <c r="N251" s="93">
        <f t="shared" si="138"/>
        <v>0</v>
      </c>
      <c r="O251" s="70" t="e">
        <f t="shared" si="133"/>
        <v>#DIV/0!</v>
      </c>
      <c r="P251" s="71">
        <f t="shared" si="109"/>
        <v>0</v>
      </c>
      <c r="Q251" s="35">
        <f t="shared" si="110"/>
        <v>0</v>
      </c>
      <c r="R251" s="72">
        <v>1103822</v>
      </c>
      <c r="S251" s="72">
        <f t="shared" si="111"/>
        <v>130399</v>
      </c>
    </row>
    <row r="252" spans="1:20">
      <c r="A252" s="100"/>
      <c r="B252" s="9"/>
      <c r="C252" s="9"/>
      <c r="D252" s="69"/>
      <c r="E252" s="69"/>
      <c r="F252" s="55" t="s">
        <v>51</v>
      </c>
      <c r="G252" s="26"/>
      <c r="H252" s="61"/>
      <c r="I252" s="61"/>
      <c r="J252" s="105">
        <f t="shared" si="139"/>
        <v>0</v>
      </c>
      <c r="K252" s="35"/>
      <c r="L252" s="61"/>
      <c r="M252" s="92">
        <f t="shared" si="140"/>
        <v>0</v>
      </c>
      <c r="N252" s="93">
        <f t="shared" si="138"/>
        <v>0</v>
      </c>
      <c r="O252" s="70" t="e">
        <f t="shared" si="133"/>
        <v>#DIV/0!</v>
      </c>
      <c r="P252" s="71">
        <f t="shared" si="109"/>
        <v>0</v>
      </c>
      <c r="Q252" s="35">
        <f t="shared" si="110"/>
        <v>0</v>
      </c>
      <c r="R252" s="72">
        <v>1103823</v>
      </c>
      <c r="S252" s="72">
        <f t="shared" si="111"/>
        <v>0</v>
      </c>
    </row>
    <row r="253" spans="1:20">
      <c r="A253" s="100"/>
      <c r="B253" s="9"/>
      <c r="C253" s="9"/>
      <c r="D253" s="69"/>
      <c r="E253" s="69"/>
      <c r="F253" s="55" t="s">
        <v>52</v>
      </c>
      <c r="G253" s="26"/>
      <c r="H253" s="61"/>
      <c r="I253" s="61"/>
      <c r="J253" s="105">
        <f t="shared" si="139"/>
        <v>0</v>
      </c>
      <c r="K253" s="35"/>
      <c r="L253" s="61"/>
      <c r="M253" s="92">
        <f t="shared" si="140"/>
        <v>0</v>
      </c>
      <c r="N253" s="93">
        <f t="shared" si="138"/>
        <v>0</v>
      </c>
      <c r="O253" s="70" t="e">
        <f t="shared" si="133"/>
        <v>#DIV/0!</v>
      </c>
      <c r="P253" s="71">
        <f t="shared" si="109"/>
        <v>0</v>
      </c>
      <c r="Q253" s="35">
        <f t="shared" si="110"/>
        <v>0</v>
      </c>
      <c r="R253" s="72">
        <v>1103824</v>
      </c>
      <c r="S253" s="72">
        <f t="shared" si="111"/>
        <v>0</v>
      </c>
    </row>
    <row r="254" spans="1:20">
      <c r="A254" s="100"/>
      <c r="B254" s="9"/>
      <c r="C254" s="9"/>
      <c r="D254" s="69"/>
      <c r="E254" s="69"/>
      <c r="F254" s="55" t="s">
        <v>53</v>
      </c>
      <c r="G254" s="26">
        <v>236664</v>
      </c>
      <c r="H254" s="61"/>
      <c r="I254" s="61"/>
      <c r="J254" s="105">
        <f t="shared" si="139"/>
        <v>0</v>
      </c>
      <c r="K254" s="35"/>
      <c r="L254" s="61"/>
      <c r="M254" s="92">
        <f t="shared" si="140"/>
        <v>0</v>
      </c>
      <c r="N254" s="93">
        <f t="shared" si="138"/>
        <v>0</v>
      </c>
      <c r="O254" s="70" t="e">
        <f t="shared" si="133"/>
        <v>#DIV/0!</v>
      </c>
      <c r="P254" s="71">
        <f t="shared" si="109"/>
        <v>0</v>
      </c>
      <c r="Q254" s="35">
        <f t="shared" si="110"/>
        <v>0</v>
      </c>
      <c r="R254" s="72">
        <v>1103825</v>
      </c>
      <c r="S254" s="72">
        <f t="shared" si="111"/>
        <v>236664</v>
      </c>
    </row>
    <row r="255" spans="1:20">
      <c r="A255" s="100"/>
      <c r="B255" s="9"/>
      <c r="C255" s="9"/>
      <c r="D255" s="69"/>
      <c r="E255" s="69"/>
      <c r="F255" s="55" t="s">
        <v>54</v>
      </c>
      <c r="G255" s="26">
        <v>27612</v>
      </c>
      <c r="H255" s="61"/>
      <c r="I255" s="61"/>
      <c r="J255" s="105">
        <f t="shared" si="139"/>
        <v>0</v>
      </c>
      <c r="K255" s="35"/>
      <c r="L255" s="61"/>
      <c r="M255" s="92">
        <f t="shared" si="140"/>
        <v>0</v>
      </c>
      <c r="N255" s="93">
        <f t="shared" si="138"/>
        <v>0</v>
      </c>
      <c r="O255" s="70" t="e">
        <f t="shared" si="133"/>
        <v>#DIV/0!</v>
      </c>
      <c r="P255" s="71">
        <f t="shared" si="109"/>
        <v>0</v>
      </c>
      <c r="Q255" s="35">
        <f t="shared" si="110"/>
        <v>0</v>
      </c>
      <c r="R255" s="72">
        <v>1103826</v>
      </c>
      <c r="S255" s="72">
        <f t="shared" si="111"/>
        <v>27612</v>
      </c>
    </row>
    <row r="256" spans="1:20">
      <c r="A256" s="100"/>
      <c r="B256" s="9"/>
      <c r="C256" s="9"/>
      <c r="D256" s="69"/>
      <c r="E256" s="69"/>
      <c r="F256" s="55" t="s">
        <v>55</v>
      </c>
      <c r="G256" s="26">
        <v>1186640</v>
      </c>
      <c r="H256" s="61"/>
      <c r="I256" s="61"/>
      <c r="J256" s="105">
        <f t="shared" si="139"/>
        <v>0</v>
      </c>
      <c r="K256" s="35"/>
      <c r="L256" s="61"/>
      <c r="M256" s="92">
        <f t="shared" si="140"/>
        <v>0</v>
      </c>
      <c r="N256" s="93">
        <f t="shared" si="138"/>
        <v>0</v>
      </c>
      <c r="O256" s="70" t="e">
        <f t="shared" si="133"/>
        <v>#DIV/0!</v>
      </c>
      <c r="P256" s="71">
        <f t="shared" si="109"/>
        <v>0</v>
      </c>
      <c r="Q256" s="35">
        <f t="shared" si="110"/>
        <v>0</v>
      </c>
      <c r="R256" s="72">
        <v>1103827</v>
      </c>
      <c r="S256" s="72">
        <f t="shared" si="111"/>
        <v>1186640</v>
      </c>
    </row>
    <row r="257" spans="1:21">
      <c r="A257" s="100"/>
      <c r="B257" s="9"/>
      <c r="C257" s="9"/>
      <c r="D257" s="69"/>
      <c r="E257" s="69">
        <v>169</v>
      </c>
      <c r="F257" s="136" t="s">
        <v>103</v>
      </c>
      <c r="G257" s="26">
        <v>503430</v>
      </c>
      <c r="H257" s="26"/>
      <c r="I257" s="26"/>
      <c r="J257" s="105">
        <f>M257</f>
        <v>0</v>
      </c>
      <c r="K257" s="35"/>
      <c r="L257" s="27"/>
      <c r="M257" s="92">
        <f>K257+L257</f>
        <v>0</v>
      </c>
      <c r="N257" s="93">
        <f>I257-M257</f>
        <v>0</v>
      </c>
      <c r="O257" s="70" t="e">
        <f t="shared" si="133"/>
        <v>#DIV/0!</v>
      </c>
      <c r="P257" s="71">
        <f t="shared" si="109"/>
        <v>0</v>
      </c>
      <c r="Q257" s="35">
        <f t="shared" si="110"/>
        <v>0</v>
      </c>
      <c r="R257" s="72">
        <v>1103828</v>
      </c>
      <c r="S257" s="72">
        <f t="shared" si="111"/>
        <v>503430</v>
      </c>
      <c r="T257" s="62">
        <f t="shared" si="131"/>
        <v>503430</v>
      </c>
    </row>
    <row r="258" spans="1:21" ht="25.5">
      <c r="A258" s="100"/>
      <c r="B258" s="9"/>
      <c r="C258" s="9"/>
      <c r="D258" s="69"/>
      <c r="E258" s="69">
        <v>311</v>
      </c>
      <c r="F258" s="142" t="s">
        <v>133</v>
      </c>
      <c r="G258" s="26">
        <v>10853</v>
      </c>
      <c r="H258" s="26"/>
      <c r="I258" s="26"/>
      <c r="J258" s="105">
        <f>M258</f>
        <v>0</v>
      </c>
      <c r="K258" s="35"/>
      <c r="L258" s="27"/>
      <c r="M258" s="92">
        <f>K258+L258</f>
        <v>0</v>
      </c>
      <c r="N258" s="93">
        <f>I258-M258</f>
        <v>0</v>
      </c>
      <c r="O258" s="70" t="e">
        <f t="shared" si="133"/>
        <v>#DIV/0!</v>
      </c>
      <c r="P258" s="71">
        <f t="shared" si="109"/>
        <v>0</v>
      </c>
      <c r="Q258" s="35">
        <f t="shared" si="110"/>
        <v>0</v>
      </c>
      <c r="R258" s="72">
        <v>1103829</v>
      </c>
      <c r="S258" s="72">
        <f t="shared" si="111"/>
        <v>10853</v>
      </c>
    </row>
    <row r="259" spans="1:21" s="73" customFormat="1" ht="38.25">
      <c r="A259" s="103"/>
      <c r="B259" s="8"/>
      <c r="C259" s="17" t="s">
        <v>34</v>
      </c>
      <c r="D259" s="21"/>
      <c r="E259" s="21"/>
      <c r="F259" s="125" t="s">
        <v>134</v>
      </c>
      <c r="G259" s="23">
        <f>G260</f>
        <v>10428</v>
      </c>
      <c r="H259" s="23">
        <f t="shared" ref="H259:O260" si="141">H260</f>
        <v>0</v>
      </c>
      <c r="I259" s="23">
        <f t="shared" si="141"/>
        <v>0</v>
      </c>
      <c r="J259" s="38">
        <f t="shared" si="141"/>
        <v>0</v>
      </c>
      <c r="K259" s="23">
        <f t="shared" si="141"/>
        <v>0</v>
      </c>
      <c r="L259" s="23">
        <f t="shared" si="141"/>
        <v>0</v>
      </c>
      <c r="M259" s="24">
        <f t="shared" si="141"/>
        <v>0</v>
      </c>
      <c r="N259" s="23">
        <f t="shared" si="141"/>
        <v>0</v>
      </c>
      <c r="O259" s="39" t="e">
        <f t="shared" si="141"/>
        <v>#DIV/0!</v>
      </c>
      <c r="P259" s="71">
        <f t="shared" si="109"/>
        <v>0</v>
      </c>
      <c r="Q259" s="35">
        <f t="shared" si="110"/>
        <v>0</v>
      </c>
      <c r="R259" s="72">
        <v>1103830</v>
      </c>
      <c r="S259" s="72">
        <f t="shared" si="111"/>
        <v>10428</v>
      </c>
      <c r="T259" s="62">
        <f t="shared" si="131"/>
        <v>10428</v>
      </c>
    </row>
    <row r="260" spans="1:21">
      <c r="A260" s="100"/>
      <c r="B260" s="8"/>
      <c r="C260" s="8"/>
      <c r="D260" s="17" t="s">
        <v>7</v>
      </c>
      <c r="E260" s="10"/>
      <c r="F260" s="135" t="s">
        <v>85</v>
      </c>
      <c r="G260" s="59">
        <f>G261</f>
        <v>10428</v>
      </c>
      <c r="H260" s="59">
        <f t="shared" si="141"/>
        <v>0</v>
      </c>
      <c r="I260" s="59">
        <f t="shared" si="141"/>
        <v>0</v>
      </c>
      <c r="J260" s="59">
        <f t="shared" si="141"/>
        <v>0</v>
      </c>
      <c r="K260" s="59">
        <f t="shared" si="141"/>
        <v>0</v>
      </c>
      <c r="L260" s="59">
        <f t="shared" si="141"/>
        <v>0</v>
      </c>
      <c r="M260" s="59">
        <f t="shared" si="141"/>
        <v>0</v>
      </c>
      <c r="N260" s="102">
        <f>I260-M260</f>
        <v>0</v>
      </c>
      <c r="O260" s="68" t="e">
        <f>M260/I260*100</f>
        <v>#DIV/0!</v>
      </c>
      <c r="P260" s="71">
        <f t="shared" si="109"/>
        <v>0</v>
      </c>
      <c r="Q260" s="35">
        <f t="shared" si="110"/>
        <v>0</v>
      </c>
      <c r="R260" s="72">
        <v>1103831</v>
      </c>
      <c r="S260" s="72">
        <f t="shared" si="111"/>
        <v>10428</v>
      </c>
      <c r="T260" s="62">
        <f t="shared" si="131"/>
        <v>10428</v>
      </c>
    </row>
    <row r="261" spans="1:21" ht="25.5">
      <c r="A261" s="100"/>
      <c r="B261" s="9"/>
      <c r="C261" s="9"/>
      <c r="D261" s="69"/>
      <c r="E261" s="69">
        <v>311</v>
      </c>
      <c r="F261" s="142" t="s">
        <v>133</v>
      </c>
      <c r="G261" s="26">
        <v>10428</v>
      </c>
      <c r="H261" s="26"/>
      <c r="I261" s="26"/>
      <c r="J261" s="105">
        <f>M261</f>
        <v>0</v>
      </c>
      <c r="K261" s="35"/>
      <c r="L261" s="27"/>
      <c r="M261" s="92">
        <f>K261+L261</f>
        <v>0</v>
      </c>
      <c r="N261" s="93">
        <f>I261-M261</f>
        <v>0</v>
      </c>
      <c r="O261" s="70" t="e">
        <f>M261/I261*100</f>
        <v>#DIV/0!</v>
      </c>
      <c r="P261" s="71">
        <f t="shared" si="109"/>
        <v>0</v>
      </c>
      <c r="Q261" s="35">
        <f t="shared" si="110"/>
        <v>0</v>
      </c>
      <c r="R261" s="72">
        <v>1103832</v>
      </c>
      <c r="S261" s="72">
        <f t="shared" si="111"/>
        <v>10428</v>
      </c>
      <c r="T261" s="62">
        <f t="shared" si="131"/>
        <v>10428</v>
      </c>
    </row>
    <row r="262" spans="1:21" s="113" customFormat="1" ht="25.5">
      <c r="A262" s="8"/>
      <c r="B262" s="58">
        <v>1268</v>
      </c>
      <c r="C262" s="8"/>
      <c r="D262" s="21"/>
      <c r="E262" s="21"/>
      <c r="F262" s="143" t="s">
        <v>135</v>
      </c>
      <c r="G262" s="59">
        <f>G263+G290</f>
        <v>603992</v>
      </c>
      <c r="H262" s="59">
        <f t="shared" ref="H262:N262" si="142">H263+H290</f>
        <v>2700</v>
      </c>
      <c r="I262" s="59">
        <f t="shared" si="142"/>
        <v>2700</v>
      </c>
      <c r="J262" s="60">
        <f t="shared" si="142"/>
        <v>2434.3649999999998</v>
      </c>
      <c r="K262" s="59">
        <f t="shared" si="142"/>
        <v>0</v>
      </c>
      <c r="L262" s="60">
        <f t="shared" si="142"/>
        <v>2434.3649999999998</v>
      </c>
      <c r="M262" s="59">
        <f t="shared" si="142"/>
        <v>2434.3649999999998</v>
      </c>
      <c r="N262" s="29">
        <f t="shared" si="142"/>
        <v>265.63500000000022</v>
      </c>
      <c r="O262" s="68">
        <f t="shared" ref="O262:O266" si="143">M262/I262*100</f>
        <v>90.161666666666662</v>
      </c>
      <c r="P262" s="71">
        <f t="shared" si="109"/>
        <v>0</v>
      </c>
      <c r="Q262" s="35">
        <f t="shared" si="110"/>
        <v>265.63500000000022</v>
      </c>
      <c r="R262" s="72">
        <v>1103833</v>
      </c>
      <c r="S262" s="72">
        <f t="shared" si="111"/>
        <v>601557.63500000001</v>
      </c>
      <c r="T262" s="62">
        <f t="shared" ref="T262:T266" si="144">G262-J262</f>
        <v>601557.63500000001</v>
      </c>
      <c r="U262" s="73"/>
    </row>
    <row r="263" spans="1:21" ht="38.25">
      <c r="A263" s="8"/>
      <c r="B263" s="8"/>
      <c r="C263" s="17" t="s">
        <v>38</v>
      </c>
      <c r="D263" s="17"/>
      <c r="E263" s="21"/>
      <c r="F263" s="139" t="s">
        <v>121</v>
      </c>
      <c r="G263" s="42">
        <f>G271</f>
        <v>603992</v>
      </c>
      <c r="H263" s="42">
        <f t="shared" ref="H263:N263" si="145">H271</f>
        <v>2700</v>
      </c>
      <c r="I263" s="42">
        <f t="shared" si="145"/>
        <v>2700</v>
      </c>
      <c r="J263" s="42">
        <f t="shared" si="145"/>
        <v>2434.3649999999998</v>
      </c>
      <c r="K263" s="42">
        <f t="shared" si="145"/>
        <v>0</v>
      </c>
      <c r="L263" s="60">
        <f t="shared" si="145"/>
        <v>2434.3649999999998</v>
      </c>
      <c r="M263" s="42">
        <f t="shared" si="145"/>
        <v>2434.3649999999998</v>
      </c>
      <c r="N263" s="29">
        <f t="shared" si="145"/>
        <v>265.63500000000022</v>
      </c>
      <c r="O263" s="68">
        <f t="shared" si="143"/>
        <v>90.161666666666662</v>
      </c>
      <c r="P263" s="71">
        <f t="shared" si="109"/>
        <v>0</v>
      </c>
      <c r="Q263" s="35">
        <f t="shared" si="110"/>
        <v>265.63500000000022</v>
      </c>
      <c r="R263" s="72">
        <v>1103834</v>
      </c>
      <c r="S263" s="72">
        <f t="shared" si="111"/>
        <v>601557.63500000001</v>
      </c>
      <c r="T263" s="62">
        <f t="shared" si="144"/>
        <v>601557.63500000001</v>
      </c>
    </row>
    <row r="264" spans="1:21" hidden="1">
      <c r="A264" s="8"/>
      <c r="B264" s="8"/>
      <c r="C264" s="8"/>
      <c r="D264" s="17" t="s">
        <v>28</v>
      </c>
      <c r="E264" s="10"/>
      <c r="F264" s="135" t="s">
        <v>85</v>
      </c>
      <c r="G264" s="42">
        <f>SUM(G265:G270)</f>
        <v>0</v>
      </c>
      <c r="H264" s="42">
        <f t="shared" ref="H264:N264" si="146">SUM(H265:H270)</f>
        <v>0</v>
      </c>
      <c r="I264" s="42">
        <f t="shared" si="146"/>
        <v>0</v>
      </c>
      <c r="J264" s="33" t="e">
        <f t="shared" si="146"/>
        <v>#REF!</v>
      </c>
      <c r="K264" s="42" t="e">
        <f t="shared" si="146"/>
        <v>#REF!</v>
      </c>
      <c r="L264" s="33">
        <f t="shared" si="146"/>
        <v>0</v>
      </c>
      <c r="M264" s="60" t="e">
        <f t="shared" si="146"/>
        <v>#REF!</v>
      </c>
      <c r="N264" s="60" t="e">
        <f t="shared" si="146"/>
        <v>#REF!</v>
      </c>
      <c r="O264" s="68" t="e">
        <f t="shared" si="143"/>
        <v>#REF!</v>
      </c>
      <c r="P264" s="71" t="e">
        <f t="shared" si="109"/>
        <v>#REF!</v>
      </c>
      <c r="Q264" s="35" t="e">
        <f t="shared" si="110"/>
        <v>#REF!</v>
      </c>
      <c r="R264" s="72">
        <v>1103835</v>
      </c>
      <c r="S264" s="72" t="e">
        <f t="shared" si="111"/>
        <v>#REF!</v>
      </c>
      <c r="T264" s="62" t="e">
        <f t="shared" si="144"/>
        <v>#REF!</v>
      </c>
    </row>
    <row r="265" spans="1:21" s="73" customFormat="1" hidden="1">
      <c r="A265" s="9"/>
      <c r="B265" s="9"/>
      <c r="C265" s="9"/>
      <c r="D265" s="69"/>
      <c r="E265" s="69">
        <v>111</v>
      </c>
      <c r="F265" s="3" t="s">
        <v>0</v>
      </c>
      <c r="G265" s="26"/>
      <c r="H265" s="26"/>
      <c r="I265" s="26"/>
      <c r="J265" s="105" t="e">
        <f t="shared" ref="J265:J270" si="147">M265</f>
        <v>#REF!</v>
      </c>
      <c r="K265" s="114" t="e">
        <f>#REF!</f>
        <v>#REF!</v>
      </c>
      <c r="L265" s="27"/>
      <c r="M265" s="71" t="e">
        <f t="shared" ref="M265:M270" si="148">K265+L265</f>
        <v>#REF!</v>
      </c>
      <c r="N265" s="35" t="e">
        <f t="shared" ref="N265:N270" si="149">I265-M265</f>
        <v>#REF!</v>
      </c>
      <c r="O265" s="70" t="e">
        <f t="shared" si="143"/>
        <v>#REF!</v>
      </c>
      <c r="P265" s="71" t="e">
        <f t="shared" si="109"/>
        <v>#REF!</v>
      </c>
      <c r="Q265" s="35" t="e">
        <f t="shared" si="110"/>
        <v>#REF!</v>
      </c>
      <c r="R265" s="72">
        <v>1103836</v>
      </c>
      <c r="S265" s="72" t="e">
        <f t="shared" si="111"/>
        <v>#REF!</v>
      </c>
      <c r="T265" s="62" t="e">
        <f t="shared" si="144"/>
        <v>#REF!</v>
      </c>
    </row>
    <row r="266" spans="1:21" hidden="1">
      <c r="A266" s="9"/>
      <c r="B266" s="9"/>
      <c r="C266" s="9"/>
      <c r="D266" s="69"/>
      <c r="E266" s="76">
        <v>113</v>
      </c>
      <c r="F266" s="3" t="s">
        <v>1</v>
      </c>
      <c r="G266" s="26"/>
      <c r="H266" s="26"/>
      <c r="I266" s="26"/>
      <c r="J266" s="105" t="e">
        <f t="shared" si="147"/>
        <v>#REF!</v>
      </c>
      <c r="K266" s="114" t="e">
        <f>#REF!</f>
        <v>#REF!</v>
      </c>
      <c r="L266" s="27"/>
      <c r="M266" s="71" t="e">
        <f t="shared" si="148"/>
        <v>#REF!</v>
      </c>
      <c r="N266" s="35" t="e">
        <f t="shared" si="149"/>
        <v>#REF!</v>
      </c>
      <c r="O266" s="70" t="e">
        <f t="shared" si="143"/>
        <v>#REF!</v>
      </c>
      <c r="P266" s="71" t="e">
        <f t="shared" ref="P266:P294" si="150">J266-M266</f>
        <v>#REF!</v>
      </c>
      <c r="Q266" s="35" t="e">
        <f t="shared" ref="Q266:Q294" si="151">H266-J266</f>
        <v>#REF!</v>
      </c>
      <c r="R266" s="72">
        <v>1103837</v>
      </c>
      <c r="S266" s="72" t="e">
        <f t="shared" ref="S266:S294" si="152">G266-M266</f>
        <v>#REF!</v>
      </c>
      <c r="T266" s="62" t="e">
        <f t="shared" si="144"/>
        <v>#REF!</v>
      </c>
    </row>
    <row r="267" spans="1:21" hidden="1">
      <c r="A267" s="9"/>
      <c r="B267" s="9"/>
      <c r="C267" s="9"/>
      <c r="D267" s="69"/>
      <c r="E267" s="69">
        <v>116</v>
      </c>
      <c r="F267" s="3" t="s">
        <v>42</v>
      </c>
      <c r="G267" s="26"/>
      <c r="H267" s="26"/>
      <c r="I267" s="26"/>
      <c r="J267" s="105" t="e">
        <f t="shared" si="147"/>
        <v>#REF!</v>
      </c>
      <c r="K267" s="114" t="e">
        <f>#REF!</f>
        <v>#REF!</v>
      </c>
      <c r="L267" s="27"/>
      <c r="M267" s="71" t="e">
        <f t="shared" si="148"/>
        <v>#REF!</v>
      </c>
      <c r="N267" s="35" t="e">
        <f t="shared" si="149"/>
        <v>#REF!</v>
      </c>
      <c r="O267" s="70" t="e">
        <f>M267/I267*100</f>
        <v>#REF!</v>
      </c>
      <c r="P267" s="71" t="e">
        <f t="shared" si="150"/>
        <v>#REF!</v>
      </c>
      <c r="Q267" s="35" t="e">
        <f t="shared" si="151"/>
        <v>#REF!</v>
      </c>
      <c r="R267" s="72">
        <v>1103838</v>
      </c>
      <c r="S267" s="72" t="e">
        <f t="shared" si="152"/>
        <v>#REF!</v>
      </c>
    </row>
    <row r="268" spans="1:21" s="73" customFormat="1" hidden="1">
      <c r="A268" s="9"/>
      <c r="B268" s="9"/>
      <c r="C268" s="9"/>
      <c r="D268" s="69"/>
      <c r="E268" s="69">
        <v>121</v>
      </c>
      <c r="F268" s="3" t="s">
        <v>2</v>
      </c>
      <c r="G268" s="26"/>
      <c r="H268" s="26"/>
      <c r="I268" s="26"/>
      <c r="J268" s="105" t="e">
        <f t="shared" si="147"/>
        <v>#REF!</v>
      </c>
      <c r="K268" s="114" t="e">
        <f>#REF!</f>
        <v>#REF!</v>
      </c>
      <c r="L268" s="27"/>
      <c r="M268" s="71" t="e">
        <f t="shared" si="148"/>
        <v>#REF!</v>
      </c>
      <c r="N268" s="35" t="e">
        <f t="shared" si="149"/>
        <v>#REF!</v>
      </c>
      <c r="O268" s="70" t="e">
        <f>M268/I268*100</f>
        <v>#REF!</v>
      </c>
      <c r="P268" s="71" t="e">
        <f t="shared" si="150"/>
        <v>#REF!</v>
      </c>
      <c r="Q268" s="35" t="e">
        <f t="shared" si="151"/>
        <v>#REF!</v>
      </c>
      <c r="R268" s="72">
        <v>1103839</v>
      </c>
      <c r="S268" s="72" t="e">
        <f t="shared" si="152"/>
        <v>#REF!</v>
      </c>
      <c r="T268" s="62" t="e">
        <f t="shared" ref="T268:T272" si="153">G268-J268</f>
        <v>#REF!</v>
      </c>
    </row>
    <row r="269" spans="1:21" s="73" customFormat="1" ht="25.5" hidden="1">
      <c r="A269" s="9"/>
      <c r="B269" s="9"/>
      <c r="C269" s="9"/>
      <c r="D269" s="69"/>
      <c r="E269" s="69">
        <v>122</v>
      </c>
      <c r="F269" s="3" t="s">
        <v>3</v>
      </c>
      <c r="G269" s="26"/>
      <c r="H269" s="26"/>
      <c r="I269" s="26"/>
      <c r="J269" s="105" t="e">
        <f t="shared" si="147"/>
        <v>#REF!</v>
      </c>
      <c r="K269" s="114" t="e">
        <f>#REF!</f>
        <v>#REF!</v>
      </c>
      <c r="L269" s="27"/>
      <c r="M269" s="71" t="e">
        <f t="shared" si="148"/>
        <v>#REF!</v>
      </c>
      <c r="N269" s="35" t="e">
        <f t="shared" si="149"/>
        <v>#REF!</v>
      </c>
      <c r="O269" s="70" t="e">
        <f t="shared" ref="O269:O274" si="154">M269/I269*100</f>
        <v>#REF!</v>
      </c>
      <c r="P269" s="71" t="e">
        <f t="shared" si="150"/>
        <v>#REF!</v>
      </c>
      <c r="Q269" s="35" t="e">
        <f t="shared" si="151"/>
        <v>#REF!</v>
      </c>
      <c r="R269" s="72">
        <v>1103840</v>
      </c>
      <c r="S269" s="72" t="e">
        <f t="shared" si="152"/>
        <v>#REF!</v>
      </c>
      <c r="T269" s="62" t="e">
        <f t="shared" si="153"/>
        <v>#REF!</v>
      </c>
    </row>
    <row r="270" spans="1:21" s="73" customFormat="1" ht="25.5" hidden="1">
      <c r="A270" s="9"/>
      <c r="B270" s="9"/>
      <c r="C270" s="9"/>
      <c r="D270" s="69"/>
      <c r="E270" s="69">
        <v>124</v>
      </c>
      <c r="F270" s="3" t="s">
        <v>19</v>
      </c>
      <c r="G270" s="26"/>
      <c r="H270" s="26"/>
      <c r="I270" s="26"/>
      <c r="J270" s="105" t="e">
        <f t="shared" si="147"/>
        <v>#REF!</v>
      </c>
      <c r="K270" s="114" t="e">
        <f>#REF!</f>
        <v>#REF!</v>
      </c>
      <c r="L270" s="27"/>
      <c r="M270" s="71" t="e">
        <f t="shared" si="148"/>
        <v>#REF!</v>
      </c>
      <c r="N270" s="35" t="e">
        <f t="shared" si="149"/>
        <v>#REF!</v>
      </c>
      <c r="O270" s="70" t="e">
        <f t="shared" si="154"/>
        <v>#REF!</v>
      </c>
      <c r="P270" s="71" t="e">
        <f t="shared" si="150"/>
        <v>#REF!</v>
      </c>
      <c r="Q270" s="35" t="e">
        <f t="shared" si="151"/>
        <v>#REF!</v>
      </c>
      <c r="R270" s="72">
        <v>1103841</v>
      </c>
      <c r="S270" s="72" t="e">
        <f t="shared" si="152"/>
        <v>#REF!</v>
      </c>
      <c r="T270" s="62" t="e">
        <f t="shared" si="153"/>
        <v>#REF!</v>
      </c>
    </row>
    <row r="271" spans="1:21">
      <c r="A271" s="8"/>
      <c r="B271" s="8"/>
      <c r="C271" s="17"/>
      <c r="D271" s="17" t="s">
        <v>7</v>
      </c>
      <c r="E271" s="10"/>
      <c r="F271" s="135" t="s">
        <v>85</v>
      </c>
      <c r="G271" s="40">
        <f>SUM(G272:G289)</f>
        <v>603992</v>
      </c>
      <c r="H271" s="40">
        <f>SUM(H272:H289)</f>
        <v>2700</v>
      </c>
      <c r="I271" s="40">
        <f>SUM(I272:I289)</f>
        <v>2700</v>
      </c>
      <c r="J271" s="24">
        <f t="shared" ref="J271:K271" si="155">SUM(J272:J289)</f>
        <v>2434.3649999999998</v>
      </c>
      <c r="K271" s="40">
        <f t="shared" si="155"/>
        <v>0</v>
      </c>
      <c r="L271" s="24">
        <f>SUM(L272:L289)</f>
        <v>2434.3649999999998</v>
      </c>
      <c r="M271" s="24">
        <f t="shared" ref="M271" si="156">SUM(M272:M289)</f>
        <v>2434.3649999999998</v>
      </c>
      <c r="N271" s="24">
        <f>SUM(N272:N289)</f>
        <v>265.63500000000022</v>
      </c>
      <c r="O271" s="66">
        <f t="shared" si="154"/>
        <v>90.161666666666662</v>
      </c>
      <c r="P271" s="71">
        <f t="shared" si="150"/>
        <v>0</v>
      </c>
      <c r="Q271" s="35">
        <f t="shared" si="151"/>
        <v>265.63500000000022</v>
      </c>
      <c r="R271" s="72">
        <v>1103842</v>
      </c>
      <c r="S271" s="72">
        <f t="shared" si="152"/>
        <v>601557.63500000001</v>
      </c>
      <c r="T271" s="62">
        <f t="shared" si="153"/>
        <v>601557.63500000001</v>
      </c>
    </row>
    <row r="272" spans="1:21">
      <c r="A272" s="8"/>
      <c r="B272" s="9"/>
      <c r="C272" s="9"/>
      <c r="D272" s="69"/>
      <c r="E272" s="69">
        <v>111</v>
      </c>
      <c r="F272" s="136" t="s">
        <v>86</v>
      </c>
      <c r="G272" s="26">
        <v>395706</v>
      </c>
      <c r="H272" s="26">
        <v>2700</v>
      </c>
      <c r="I272" s="26">
        <v>2700</v>
      </c>
      <c r="J272" s="105">
        <f>M272</f>
        <v>2434.3649999999998</v>
      </c>
      <c r="K272" s="35"/>
      <c r="L272" s="27">
        <v>2434.3649999999998</v>
      </c>
      <c r="M272" s="92">
        <f t="shared" ref="M272:M274" si="157">K272+L272</f>
        <v>2434.3649999999998</v>
      </c>
      <c r="N272" s="93">
        <f t="shared" ref="N272:N274" si="158">I272-M272</f>
        <v>265.63500000000022</v>
      </c>
      <c r="O272" s="70">
        <f t="shared" si="154"/>
        <v>90.161666666666662</v>
      </c>
      <c r="P272" s="71">
        <f t="shared" si="150"/>
        <v>0</v>
      </c>
      <c r="Q272" s="35">
        <f t="shared" si="151"/>
        <v>265.63500000000022</v>
      </c>
      <c r="R272" s="72">
        <v>1103843</v>
      </c>
      <c r="S272" s="72">
        <f t="shared" si="152"/>
        <v>393271.63500000001</v>
      </c>
      <c r="T272" s="62">
        <f t="shared" si="153"/>
        <v>393271.63500000001</v>
      </c>
    </row>
    <row r="273" spans="1:20">
      <c r="A273" s="8"/>
      <c r="B273" s="9"/>
      <c r="C273" s="9"/>
      <c r="D273" s="69"/>
      <c r="E273" s="69">
        <v>112</v>
      </c>
      <c r="F273" s="136" t="s">
        <v>87</v>
      </c>
      <c r="G273" s="26"/>
      <c r="H273" s="26"/>
      <c r="I273" s="26"/>
      <c r="J273" s="105">
        <f t="shared" ref="J273:J289" si="159">M273</f>
        <v>0</v>
      </c>
      <c r="K273" s="35"/>
      <c r="L273" s="27"/>
      <c r="M273" s="92">
        <f t="shared" si="157"/>
        <v>0</v>
      </c>
      <c r="N273" s="93">
        <f t="shared" si="158"/>
        <v>0</v>
      </c>
      <c r="O273" s="70" t="e">
        <f t="shared" si="154"/>
        <v>#DIV/0!</v>
      </c>
      <c r="P273" s="71">
        <f t="shared" si="150"/>
        <v>0</v>
      </c>
      <c r="Q273" s="35">
        <f t="shared" si="151"/>
        <v>0</v>
      </c>
      <c r="R273" s="72">
        <v>1103844</v>
      </c>
      <c r="S273" s="72">
        <f t="shared" si="152"/>
        <v>0</v>
      </c>
    </row>
    <row r="274" spans="1:20">
      <c r="A274" s="8"/>
      <c r="B274" s="9"/>
      <c r="C274" s="9"/>
      <c r="D274" s="69"/>
      <c r="E274" s="76">
        <v>113</v>
      </c>
      <c r="F274" s="136" t="s">
        <v>88</v>
      </c>
      <c r="G274" s="26">
        <v>19666</v>
      </c>
      <c r="H274" s="26"/>
      <c r="I274" s="26"/>
      <c r="J274" s="105">
        <f t="shared" si="159"/>
        <v>0</v>
      </c>
      <c r="K274" s="35"/>
      <c r="L274" s="27"/>
      <c r="M274" s="92">
        <f t="shared" si="157"/>
        <v>0</v>
      </c>
      <c r="N274" s="93">
        <f t="shared" si="158"/>
        <v>0</v>
      </c>
      <c r="O274" s="70" t="e">
        <f t="shared" si="154"/>
        <v>#DIV/0!</v>
      </c>
      <c r="P274" s="71">
        <f t="shared" si="150"/>
        <v>0</v>
      </c>
      <c r="Q274" s="35">
        <f t="shared" si="151"/>
        <v>0</v>
      </c>
      <c r="R274" s="72">
        <v>1103845</v>
      </c>
      <c r="S274" s="72">
        <f t="shared" si="152"/>
        <v>19666</v>
      </c>
      <c r="T274" s="62">
        <f t="shared" ref="T274" si="160">G274-J274</f>
        <v>19666</v>
      </c>
    </row>
    <row r="275" spans="1:20">
      <c r="A275" s="8"/>
      <c r="B275" s="9"/>
      <c r="C275" s="9"/>
      <c r="D275" s="69"/>
      <c r="E275" s="69">
        <v>116</v>
      </c>
      <c r="F275" s="136" t="s">
        <v>89</v>
      </c>
      <c r="G275" s="26">
        <v>13850</v>
      </c>
      <c r="H275" s="26"/>
      <c r="I275" s="26"/>
      <c r="J275" s="105">
        <f t="shared" si="159"/>
        <v>0</v>
      </c>
      <c r="K275" s="35"/>
      <c r="L275" s="27"/>
      <c r="M275" s="92">
        <f>K275+L275</f>
        <v>0</v>
      </c>
      <c r="N275" s="93">
        <f>I275-M275</f>
        <v>0</v>
      </c>
      <c r="O275" s="70" t="e">
        <f>M275/I275*100</f>
        <v>#DIV/0!</v>
      </c>
      <c r="P275" s="71">
        <f t="shared" si="150"/>
        <v>0</v>
      </c>
      <c r="Q275" s="35">
        <f t="shared" si="151"/>
        <v>0</v>
      </c>
      <c r="R275" s="72">
        <v>1103846</v>
      </c>
      <c r="S275" s="72">
        <f t="shared" si="152"/>
        <v>13850</v>
      </c>
    </row>
    <row r="276" spans="1:20">
      <c r="A276" s="8"/>
      <c r="B276" s="9"/>
      <c r="C276" s="9"/>
      <c r="D276" s="69"/>
      <c r="E276" s="69">
        <v>121</v>
      </c>
      <c r="F276" s="136" t="s">
        <v>90</v>
      </c>
      <c r="G276" s="26">
        <v>20498</v>
      </c>
      <c r="H276" s="26"/>
      <c r="I276" s="26"/>
      <c r="J276" s="105">
        <f t="shared" si="159"/>
        <v>0</v>
      </c>
      <c r="K276" s="35"/>
      <c r="L276" s="27"/>
      <c r="M276" s="92">
        <f t="shared" ref="M276:M288" si="161">K276+L276</f>
        <v>0</v>
      </c>
      <c r="N276" s="93">
        <f t="shared" ref="N276:N289" si="162">I276-M276</f>
        <v>0</v>
      </c>
      <c r="O276" s="70" t="e">
        <f t="shared" ref="O276:O289" si="163">M276/I276*100</f>
        <v>#DIV/0!</v>
      </c>
      <c r="P276" s="71">
        <f t="shared" si="150"/>
        <v>0</v>
      </c>
      <c r="Q276" s="35">
        <f t="shared" si="151"/>
        <v>0</v>
      </c>
      <c r="R276" s="72">
        <v>1103847</v>
      </c>
      <c r="S276" s="72">
        <f t="shared" si="152"/>
        <v>20498</v>
      </c>
      <c r="T276" s="62">
        <f t="shared" ref="T276:T285" si="164">G276-J276</f>
        <v>20498</v>
      </c>
    </row>
    <row r="277" spans="1:20" ht="25.5">
      <c r="A277" s="8"/>
      <c r="B277" s="9"/>
      <c r="C277" s="9"/>
      <c r="D277" s="69"/>
      <c r="E277" s="69">
        <v>122</v>
      </c>
      <c r="F277" s="136" t="s">
        <v>91</v>
      </c>
      <c r="G277" s="26">
        <v>17807</v>
      </c>
      <c r="H277" s="26"/>
      <c r="I277" s="26"/>
      <c r="J277" s="105">
        <f t="shared" si="159"/>
        <v>0</v>
      </c>
      <c r="K277" s="35"/>
      <c r="L277" s="27"/>
      <c r="M277" s="92">
        <f t="shared" si="161"/>
        <v>0</v>
      </c>
      <c r="N277" s="93">
        <f t="shared" si="162"/>
        <v>0</v>
      </c>
      <c r="O277" s="70" t="e">
        <f t="shared" si="163"/>
        <v>#DIV/0!</v>
      </c>
      <c r="P277" s="71">
        <f t="shared" si="150"/>
        <v>0</v>
      </c>
      <c r="Q277" s="35">
        <f t="shared" si="151"/>
        <v>0</v>
      </c>
      <c r="R277" s="72">
        <v>1103848</v>
      </c>
      <c r="S277" s="72">
        <f t="shared" si="152"/>
        <v>17807</v>
      </c>
      <c r="T277" s="62">
        <f t="shared" si="164"/>
        <v>17807</v>
      </c>
    </row>
    <row r="278" spans="1:20">
      <c r="A278" s="8"/>
      <c r="B278" s="9"/>
      <c r="C278" s="9"/>
      <c r="D278" s="69"/>
      <c r="E278" s="69">
        <v>123</v>
      </c>
      <c r="F278" s="136" t="s">
        <v>92</v>
      </c>
      <c r="G278" s="26"/>
      <c r="H278" s="26"/>
      <c r="I278" s="26"/>
      <c r="J278" s="105">
        <f t="shared" si="159"/>
        <v>0</v>
      </c>
      <c r="K278" s="35"/>
      <c r="L278" s="27"/>
      <c r="M278" s="92">
        <f t="shared" si="161"/>
        <v>0</v>
      </c>
      <c r="N278" s="93">
        <f t="shared" si="162"/>
        <v>0</v>
      </c>
      <c r="O278" s="70" t="e">
        <f t="shared" si="163"/>
        <v>#DIV/0!</v>
      </c>
      <c r="P278" s="71">
        <f t="shared" si="150"/>
        <v>0</v>
      </c>
      <c r="Q278" s="35">
        <f t="shared" si="151"/>
        <v>0</v>
      </c>
      <c r="R278" s="72">
        <v>1103849</v>
      </c>
      <c r="S278" s="72">
        <f t="shared" si="152"/>
        <v>0</v>
      </c>
      <c r="T278" s="62">
        <f t="shared" si="164"/>
        <v>0</v>
      </c>
    </row>
    <row r="279" spans="1:20">
      <c r="A279" s="9"/>
      <c r="B279" s="9"/>
      <c r="C279" s="9"/>
      <c r="D279" s="69"/>
      <c r="E279" s="69">
        <v>124</v>
      </c>
      <c r="F279" s="136" t="s">
        <v>93</v>
      </c>
      <c r="G279" s="26">
        <v>11872</v>
      </c>
      <c r="H279" s="26"/>
      <c r="I279" s="26"/>
      <c r="J279" s="105">
        <f t="shared" si="159"/>
        <v>0</v>
      </c>
      <c r="K279" s="35"/>
      <c r="L279" s="27"/>
      <c r="M279" s="92">
        <f t="shared" si="161"/>
        <v>0</v>
      </c>
      <c r="N279" s="93">
        <f t="shared" si="162"/>
        <v>0</v>
      </c>
      <c r="O279" s="70" t="e">
        <f t="shared" si="163"/>
        <v>#DIV/0!</v>
      </c>
      <c r="P279" s="71">
        <f t="shared" si="150"/>
        <v>0</v>
      </c>
      <c r="Q279" s="35">
        <f t="shared" si="151"/>
        <v>0</v>
      </c>
      <c r="R279" s="72">
        <v>1103850</v>
      </c>
      <c r="S279" s="72">
        <f t="shared" si="152"/>
        <v>11872</v>
      </c>
      <c r="T279" s="62">
        <f t="shared" si="164"/>
        <v>11872</v>
      </c>
    </row>
    <row r="280" spans="1:20" s="73" customFormat="1">
      <c r="A280" s="9"/>
      <c r="B280" s="9"/>
      <c r="C280" s="9"/>
      <c r="D280" s="69"/>
      <c r="E280" s="69">
        <v>141</v>
      </c>
      <c r="F280" s="136" t="s">
        <v>116</v>
      </c>
      <c r="G280" s="26">
        <v>42256</v>
      </c>
      <c r="H280" s="26"/>
      <c r="I280" s="26"/>
      <c r="J280" s="105">
        <f t="shared" si="159"/>
        <v>0</v>
      </c>
      <c r="K280" s="35"/>
      <c r="L280" s="27"/>
      <c r="M280" s="92">
        <f t="shared" si="161"/>
        <v>0</v>
      </c>
      <c r="N280" s="93">
        <f t="shared" si="162"/>
        <v>0</v>
      </c>
      <c r="O280" s="70" t="e">
        <f t="shared" si="163"/>
        <v>#DIV/0!</v>
      </c>
      <c r="P280" s="71">
        <f t="shared" si="150"/>
        <v>0</v>
      </c>
      <c r="Q280" s="35">
        <f t="shared" si="151"/>
        <v>0</v>
      </c>
      <c r="R280" s="72">
        <v>1103851</v>
      </c>
      <c r="S280" s="72">
        <f t="shared" si="152"/>
        <v>42256</v>
      </c>
      <c r="T280" s="62">
        <f t="shared" si="164"/>
        <v>42256</v>
      </c>
    </row>
    <row r="281" spans="1:20" ht="25.5">
      <c r="A281" s="9"/>
      <c r="B281" s="9"/>
      <c r="C281" s="9"/>
      <c r="D281" s="69"/>
      <c r="E281" s="69">
        <v>142</v>
      </c>
      <c r="F281" s="136" t="s">
        <v>122</v>
      </c>
      <c r="G281" s="26">
        <v>3014</v>
      </c>
      <c r="H281" s="26"/>
      <c r="I281" s="26"/>
      <c r="J281" s="105">
        <f t="shared" si="159"/>
        <v>0</v>
      </c>
      <c r="K281" s="35"/>
      <c r="L281" s="27"/>
      <c r="M281" s="92">
        <f t="shared" si="161"/>
        <v>0</v>
      </c>
      <c r="N281" s="93">
        <f t="shared" si="162"/>
        <v>0</v>
      </c>
      <c r="O281" s="70" t="e">
        <f t="shared" si="163"/>
        <v>#DIV/0!</v>
      </c>
      <c r="P281" s="71">
        <f t="shared" si="150"/>
        <v>0</v>
      </c>
      <c r="Q281" s="35">
        <f t="shared" si="151"/>
        <v>0</v>
      </c>
      <c r="R281" s="72">
        <v>1103852</v>
      </c>
      <c r="S281" s="72">
        <f t="shared" si="152"/>
        <v>3014</v>
      </c>
      <c r="T281" s="62">
        <f t="shared" si="164"/>
        <v>3014</v>
      </c>
    </row>
    <row r="282" spans="1:20">
      <c r="A282" s="9"/>
      <c r="B282" s="9"/>
      <c r="C282" s="9"/>
      <c r="D282" s="69"/>
      <c r="E282" s="69">
        <v>144</v>
      </c>
      <c r="F282" s="136" t="s">
        <v>97</v>
      </c>
      <c r="G282" s="26">
        <v>400</v>
      </c>
      <c r="H282" s="26"/>
      <c r="I282" s="26"/>
      <c r="J282" s="105">
        <f t="shared" si="159"/>
        <v>0</v>
      </c>
      <c r="K282" s="35"/>
      <c r="L282" s="27"/>
      <c r="M282" s="92">
        <f t="shared" si="161"/>
        <v>0</v>
      </c>
      <c r="N282" s="93">
        <f t="shared" si="162"/>
        <v>0</v>
      </c>
      <c r="O282" s="70" t="e">
        <f t="shared" si="163"/>
        <v>#DIV/0!</v>
      </c>
      <c r="P282" s="71">
        <f t="shared" si="150"/>
        <v>0</v>
      </c>
      <c r="Q282" s="35">
        <f t="shared" si="151"/>
        <v>0</v>
      </c>
      <c r="R282" s="72">
        <v>1103853</v>
      </c>
      <c r="S282" s="72">
        <f t="shared" si="152"/>
        <v>400</v>
      </c>
      <c r="T282" s="62">
        <f t="shared" si="164"/>
        <v>400</v>
      </c>
    </row>
    <row r="283" spans="1:20">
      <c r="A283" s="9"/>
      <c r="B283" s="9"/>
      <c r="C283" s="9"/>
      <c r="D283" s="69"/>
      <c r="E283" s="69">
        <v>149</v>
      </c>
      <c r="F283" s="136" t="s">
        <v>98</v>
      </c>
      <c r="G283" s="26">
        <v>7350</v>
      </c>
      <c r="H283" s="26"/>
      <c r="I283" s="26"/>
      <c r="J283" s="105">
        <f t="shared" si="159"/>
        <v>0</v>
      </c>
      <c r="K283" s="35"/>
      <c r="L283" s="27"/>
      <c r="M283" s="92">
        <f t="shared" si="161"/>
        <v>0</v>
      </c>
      <c r="N283" s="93">
        <f>I283-M283</f>
        <v>0</v>
      </c>
      <c r="O283" s="70" t="e">
        <f t="shared" si="163"/>
        <v>#DIV/0!</v>
      </c>
      <c r="P283" s="71">
        <f t="shared" si="150"/>
        <v>0</v>
      </c>
      <c r="Q283" s="35">
        <f t="shared" si="151"/>
        <v>0</v>
      </c>
      <c r="R283" s="72">
        <v>1103854</v>
      </c>
      <c r="S283" s="72">
        <f t="shared" si="152"/>
        <v>7350</v>
      </c>
      <c r="T283" s="62">
        <f t="shared" si="164"/>
        <v>7350</v>
      </c>
    </row>
    <row r="284" spans="1:20">
      <c r="A284" s="9"/>
      <c r="B284" s="9"/>
      <c r="C284" s="9"/>
      <c r="D284" s="69"/>
      <c r="E284" s="69">
        <v>151</v>
      </c>
      <c r="F284" s="136" t="s">
        <v>99</v>
      </c>
      <c r="G284" s="26">
        <v>46563</v>
      </c>
      <c r="H284" s="26"/>
      <c r="I284" s="26"/>
      <c r="J284" s="105">
        <f t="shared" si="159"/>
        <v>0</v>
      </c>
      <c r="K284" s="35"/>
      <c r="L284" s="27"/>
      <c r="M284" s="92">
        <f t="shared" si="161"/>
        <v>0</v>
      </c>
      <c r="N284" s="93">
        <f t="shared" si="162"/>
        <v>0</v>
      </c>
      <c r="O284" s="70" t="e">
        <f t="shared" si="163"/>
        <v>#DIV/0!</v>
      </c>
      <c r="P284" s="71">
        <f t="shared" si="150"/>
        <v>0</v>
      </c>
      <c r="Q284" s="35">
        <f t="shared" si="151"/>
        <v>0</v>
      </c>
      <c r="R284" s="72">
        <v>1103855</v>
      </c>
      <c r="S284" s="72">
        <f t="shared" si="152"/>
        <v>46563</v>
      </c>
      <c r="T284" s="62">
        <f t="shared" si="164"/>
        <v>46563</v>
      </c>
    </row>
    <row r="285" spans="1:20" hidden="1">
      <c r="A285" s="9"/>
      <c r="B285" s="9"/>
      <c r="C285" s="9"/>
      <c r="D285" s="69"/>
      <c r="E285" s="69">
        <v>152</v>
      </c>
      <c r="F285" s="136" t="s">
        <v>100</v>
      </c>
      <c r="G285" s="26"/>
      <c r="H285" s="26"/>
      <c r="I285" s="26"/>
      <c r="J285" s="105">
        <f t="shared" si="159"/>
        <v>0</v>
      </c>
      <c r="K285" s="35"/>
      <c r="L285" s="27"/>
      <c r="M285" s="92">
        <f t="shared" si="161"/>
        <v>0</v>
      </c>
      <c r="N285" s="93">
        <f t="shared" si="162"/>
        <v>0</v>
      </c>
      <c r="O285" s="70" t="e">
        <f t="shared" si="163"/>
        <v>#DIV/0!</v>
      </c>
      <c r="P285" s="71">
        <f t="shared" si="150"/>
        <v>0</v>
      </c>
      <c r="Q285" s="35">
        <f t="shared" si="151"/>
        <v>0</v>
      </c>
      <c r="R285" s="72">
        <v>1103856</v>
      </c>
      <c r="S285" s="72">
        <f t="shared" si="152"/>
        <v>0</v>
      </c>
      <c r="T285" s="62">
        <f t="shared" si="164"/>
        <v>0</v>
      </c>
    </row>
    <row r="286" spans="1:20" ht="25.5">
      <c r="A286" s="9"/>
      <c r="B286" s="9"/>
      <c r="C286" s="9"/>
      <c r="D286" s="69"/>
      <c r="E286" s="69">
        <v>158</v>
      </c>
      <c r="F286" s="136" t="s">
        <v>101</v>
      </c>
      <c r="G286" s="26">
        <v>730</v>
      </c>
      <c r="H286" s="26"/>
      <c r="I286" s="26"/>
      <c r="J286" s="105">
        <f t="shared" si="159"/>
        <v>0</v>
      </c>
      <c r="K286" s="35"/>
      <c r="L286" s="27"/>
      <c r="M286" s="92">
        <f t="shared" si="161"/>
        <v>0</v>
      </c>
      <c r="N286" s="93">
        <f t="shared" si="162"/>
        <v>0</v>
      </c>
      <c r="O286" s="70" t="e">
        <f t="shared" si="163"/>
        <v>#DIV/0!</v>
      </c>
      <c r="P286" s="71">
        <f t="shared" si="150"/>
        <v>0</v>
      </c>
      <c r="Q286" s="35">
        <f t="shared" si="151"/>
        <v>0</v>
      </c>
      <c r="R286" s="72">
        <v>1103857</v>
      </c>
      <c r="S286" s="72">
        <f t="shared" si="152"/>
        <v>730</v>
      </c>
    </row>
    <row r="287" spans="1:20">
      <c r="A287" s="9"/>
      <c r="B287" s="9"/>
      <c r="C287" s="9"/>
      <c r="D287" s="69"/>
      <c r="E287" s="69">
        <v>159</v>
      </c>
      <c r="F287" s="136" t="s">
        <v>84</v>
      </c>
      <c r="G287" s="26">
        <v>24280</v>
      </c>
      <c r="H287" s="26"/>
      <c r="I287" s="26"/>
      <c r="J287" s="105">
        <f t="shared" si="159"/>
        <v>0</v>
      </c>
      <c r="K287" s="35"/>
      <c r="L287" s="27"/>
      <c r="M287" s="92">
        <f t="shared" si="161"/>
        <v>0</v>
      </c>
      <c r="N287" s="93">
        <f t="shared" si="162"/>
        <v>0</v>
      </c>
      <c r="O287" s="70" t="e">
        <f t="shared" si="163"/>
        <v>#DIV/0!</v>
      </c>
      <c r="P287" s="71">
        <f t="shared" si="150"/>
        <v>0</v>
      </c>
      <c r="Q287" s="35">
        <f t="shared" si="151"/>
        <v>0</v>
      </c>
      <c r="R287" s="72">
        <v>1103858</v>
      </c>
      <c r="S287" s="72">
        <f t="shared" si="152"/>
        <v>24280</v>
      </c>
      <c r="T287" s="62">
        <f t="shared" ref="T287:T289" si="165">G287-J287</f>
        <v>24280</v>
      </c>
    </row>
    <row r="288" spans="1:20">
      <c r="A288" s="9"/>
      <c r="B288" s="9"/>
      <c r="C288" s="9"/>
      <c r="D288" s="69"/>
      <c r="E288" s="69">
        <v>161</v>
      </c>
      <c r="F288" s="136" t="s">
        <v>102</v>
      </c>
      <c r="G288" s="26"/>
      <c r="H288" s="26"/>
      <c r="I288" s="26"/>
      <c r="J288" s="105">
        <f t="shared" si="159"/>
        <v>0</v>
      </c>
      <c r="K288" s="35"/>
      <c r="L288" s="27"/>
      <c r="M288" s="92">
        <f t="shared" si="161"/>
        <v>0</v>
      </c>
      <c r="N288" s="93">
        <f t="shared" si="162"/>
        <v>0</v>
      </c>
      <c r="O288" s="70" t="e">
        <f t="shared" si="163"/>
        <v>#DIV/0!</v>
      </c>
      <c r="P288" s="71">
        <f t="shared" si="150"/>
        <v>0</v>
      </c>
      <c r="Q288" s="35">
        <f t="shared" si="151"/>
        <v>0</v>
      </c>
      <c r="R288" s="72">
        <v>1103859</v>
      </c>
      <c r="S288" s="72">
        <f t="shared" si="152"/>
        <v>0</v>
      </c>
      <c r="T288" s="62">
        <f t="shared" si="165"/>
        <v>0</v>
      </c>
    </row>
    <row r="289" spans="1:20">
      <c r="A289" s="9"/>
      <c r="B289" s="9"/>
      <c r="C289" s="9"/>
      <c r="D289" s="69"/>
      <c r="E289" s="69">
        <v>169</v>
      </c>
      <c r="F289" s="136" t="s">
        <v>103</v>
      </c>
      <c r="G289" s="26"/>
      <c r="H289" s="26"/>
      <c r="I289" s="26"/>
      <c r="J289" s="105">
        <f t="shared" si="159"/>
        <v>0</v>
      </c>
      <c r="K289" s="35"/>
      <c r="L289" s="27"/>
      <c r="M289" s="92">
        <f>K289+L289</f>
        <v>0</v>
      </c>
      <c r="N289" s="93">
        <f t="shared" si="162"/>
        <v>0</v>
      </c>
      <c r="O289" s="70" t="e">
        <f t="shared" si="163"/>
        <v>#DIV/0!</v>
      </c>
      <c r="P289" s="71">
        <f t="shared" si="150"/>
        <v>0</v>
      </c>
      <c r="Q289" s="35">
        <f t="shared" si="151"/>
        <v>0</v>
      </c>
      <c r="R289" s="72">
        <v>1103860</v>
      </c>
      <c r="S289" s="72">
        <f t="shared" si="152"/>
        <v>0</v>
      </c>
      <c r="T289" s="62">
        <f t="shared" si="165"/>
        <v>0</v>
      </c>
    </row>
    <row r="290" spans="1:20" ht="25.5">
      <c r="A290" s="100"/>
      <c r="B290" s="15"/>
      <c r="C290" s="57" t="s">
        <v>43</v>
      </c>
      <c r="D290" s="16"/>
      <c r="E290" s="20"/>
      <c r="F290" s="139" t="s">
        <v>119</v>
      </c>
      <c r="G290" s="59">
        <f t="shared" ref="G290:N290" si="166">G291</f>
        <v>0</v>
      </c>
      <c r="H290" s="59">
        <f t="shared" si="166"/>
        <v>0</v>
      </c>
      <c r="I290" s="59">
        <f t="shared" si="166"/>
        <v>0</v>
      </c>
      <c r="J290" s="29">
        <f t="shared" si="166"/>
        <v>0</v>
      </c>
      <c r="K290" s="33"/>
      <c r="L290" s="59"/>
      <c r="M290" s="29">
        <f t="shared" si="166"/>
        <v>0</v>
      </c>
      <c r="N290" s="29">
        <f t="shared" si="166"/>
        <v>0</v>
      </c>
      <c r="O290" s="70"/>
      <c r="P290" s="71">
        <f t="shared" si="150"/>
        <v>0</v>
      </c>
      <c r="Q290" s="35">
        <f t="shared" si="151"/>
        <v>0</v>
      </c>
      <c r="R290" s="72">
        <v>1103861</v>
      </c>
      <c r="S290" s="72">
        <f t="shared" si="152"/>
        <v>0</v>
      </c>
    </row>
    <row r="291" spans="1:20">
      <c r="A291" s="9"/>
      <c r="B291" s="12"/>
      <c r="C291" s="12"/>
      <c r="D291" s="11" t="s">
        <v>7</v>
      </c>
      <c r="E291" s="97"/>
      <c r="F291" s="122" t="s">
        <v>85</v>
      </c>
      <c r="G291" s="98">
        <f>G292+G293+G294</f>
        <v>0</v>
      </c>
      <c r="H291" s="98">
        <f t="shared" ref="H291:I291" si="167">H292+H293+H294</f>
        <v>0</v>
      </c>
      <c r="I291" s="98">
        <f t="shared" si="167"/>
        <v>0</v>
      </c>
      <c r="J291" s="32">
        <f>J292+J293+J294</f>
        <v>0</v>
      </c>
      <c r="K291" s="32">
        <f t="shared" ref="K291:N291" si="168">K292+K293+K294</f>
        <v>0</v>
      </c>
      <c r="L291" s="32">
        <f t="shared" si="168"/>
        <v>0</v>
      </c>
      <c r="M291" s="32">
        <f t="shared" si="168"/>
        <v>0</v>
      </c>
      <c r="N291" s="32">
        <f t="shared" si="168"/>
        <v>0</v>
      </c>
      <c r="O291" s="68" t="e">
        <f>M291/I291*100</f>
        <v>#DIV/0!</v>
      </c>
      <c r="P291" s="71">
        <f t="shared" si="150"/>
        <v>0</v>
      </c>
      <c r="Q291" s="35">
        <f t="shared" si="151"/>
        <v>0</v>
      </c>
      <c r="R291" s="72">
        <v>1103862</v>
      </c>
      <c r="S291" s="72">
        <f t="shared" si="152"/>
        <v>0</v>
      </c>
      <c r="T291" s="62">
        <f>G291-J291</f>
        <v>0</v>
      </c>
    </row>
    <row r="292" spans="1:20">
      <c r="A292" s="9"/>
      <c r="B292" s="13"/>
      <c r="C292" s="13"/>
      <c r="D292" s="14"/>
      <c r="E292" s="20">
        <v>413</v>
      </c>
      <c r="F292" s="78" t="s">
        <v>152</v>
      </c>
      <c r="G292" s="34"/>
      <c r="H292" s="34"/>
      <c r="I292" s="34"/>
      <c r="J292" s="107">
        <f>M292</f>
        <v>0</v>
      </c>
      <c r="K292" s="35"/>
      <c r="L292" s="34"/>
      <c r="M292" s="92">
        <f>K292+L292</f>
        <v>0</v>
      </c>
      <c r="N292" s="93">
        <f t="shared" ref="N292:N294" si="169">I292-M292</f>
        <v>0</v>
      </c>
      <c r="O292" s="70"/>
      <c r="P292" s="71">
        <f t="shared" si="150"/>
        <v>0</v>
      </c>
      <c r="Q292" s="35">
        <f t="shared" si="151"/>
        <v>0</v>
      </c>
      <c r="R292" s="72">
        <v>1103863</v>
      </c>
      <c r="S292" s="72">
        <f t="shared" si="152"/>
        <v>0</v>
      </c>
    </row>
    <row r="293" spans="1:20" ht="25.5">
      <c r="A293" s="9"/>
      <c r="B293" s="13"/>
      <c r="C293" s="13"/>
      <c r="D293" s="14"/>
      <c r="E293" s="20">
        <v>414</v>
      </c>
      <c r="F293" s="50" t="s">
        <v>105</v>
      </c>
      <c r="G293" s="37"/>
      <c r="H293" s="37"/>
      <c r="I293" s="37"/>
      <c r="J293" s="75">
        <f>M293</f>
        <v>0</v>
      </c>
      <c r="K293" s="35"/>
      <c r="L293" s="37"/>
      <c r="M293" s="92">
        <f>K293+L293</f>
        <v>0</v>
      </c>
      <c r="N293" s="93">
        <f t="shared" si="169"/>
        <v>0</v>
      </c>
      <c r="O293" s="70"/>
      <c r="P293" s="71">
        <f t="shared" si="150"/>
        <v>0</v>
      </c>
      <c r="Q293" s="35">
        <f t="shared" si="151"/>
        <v>0</v>
      </c>
      <c r="R293" s="72">
        <v>1103864</v>
      </c>
      <c r="S293" s="72">
        <f t="shared" si="152"/>
        <v>0</v>
      </c>
    </row>
    <row r="294" spans="1:20" ht="25.5" hidden="1">
      <c r="A294" s="100"/>
      <c r="B294" s="15"/>
      <c r="C294" s="15"/>
      <c r="D294" s="16"/>
      <c r="E294" s="20">
        <v>421</v>
      </c>
      <c r="F294" s="3" t="s">
        <v>60</v>
      </c>
      <c r="G294" s="37"/>
      <c r="H294" s="37"/>
      <c r="I294" s="37"/>
      <c r="J294" s="75"/>
      <c r="K294" s="35"/>
      <c r="L294" s="35"/>
      <c r="M294" s="92">
        <f t="shared" ref="M294" si="170">K294+L294</f>
        <v>0</v>
      </c>
      <c r="N294" s="93">
        <f t="shared" si="169"/>
        <v>0</v>
      </c>
      <c r="O294" s="70" t="e">
        <f t="shared" ref="O294" si="171">M294/I294*100</f>
        <v>#DIV/0!</v>
      </c>
      <c r="P294" s="71">
        <f t="shared" si="150"/>
        <v>0</v>
      </c>
      <c r="Q294" s="35">
        <f t="shared" si="151"/>
        <v>0</v>
      </c>
      <c r="R294" s="72">
        <v>1103865</v>
      </c>
      <c r="S294" s="72">
        <f t="shared" si="152"/>
        <v>0</v>
      </c>
    </row>
    <row r="333" spans="6:6">
      <c r="F333" s="73" t="s">
        <v>27</v>
      </c>
    </row>
  </sheetData>
  <mergeCells count="16">
    <mergeCell ref="F3:F4"/>
    <mergeCell ref="A3:A4"/>
    <mergeCell ref="B3:B4"/>
    <mergeCell ref="C3:C4"/>
    <mergeCell ref="D3:D4"/>
    <mergeCell ref="E3:E4"/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5"/>
  <sheetViews>
    <sheetView view="pageBreakPreview" zoomScaleSheetLayoutView="100" workbookViewId="0">
      <pane xSplit="6" ySplit="4" topLeftCell="G285" activePane="bottomRight" state="frozen"/>
      <selection pane="topRight" activeCell="G1" sqref="G1"/>
      <selection pane="bottomLeft" activeCell="A5" sqref="A5"/>
      <selection pane="bottomRight" activeCell="H153" sqref="H153"/>
    </sheetView>
  </sheetViews>
  <sheetFormatPr defaultRowHeight="12.75"/>
  <cols>
    <col min="1" max="1" width="4.7109375" style="6" customWidth="1"/>
    <col min="2" max="2" width="6.5703125" style="6" bestFit="1" customWidth="1"/>
    <col min="3" max="3" width="4.140625" style="6" customWidth="1"/>
    <col min="4" max="4" width="4.5703125" style="6" customWidth="1"/>
    <col min="5" max="5" width="4.85546875" style="6" customWidth="1"/>
    <col min="6" max="6" width="52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425781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157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7" t="s">
        <v>139</v>
      </c>
      <c r="I4" s="127" t="s">
        <v>140</v>
      </c>
      <c r="J4" s="144"/>
      <c r="K4" s="127" t="s">
        <v>143</v>
      </c>
      <c r="L4" s="127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 t="shared" ref="G5:N5" si="0">G6+G99+G119+G142+G168+G192+G216+G264</f>
        <v>17032809</v>
      </c>
      <c r="H5" s="40">
        <f t="shared" si="0"/>
        <v>2043774</v>
      </c>
      <c r="I5" s="40">
        <f t="shared" si="0"/>
        <v>1470903.4</v>
      </c>
      <c r="J5" s="24">
        <f t="shared" si="0"/>
        <v>1804501.4577200001</v>
      </c>
      <c r="K5" s="24">
        <f t="shared" si="0"/>
        <v>522433.20371000003</v>
      </c>
      <c r="L5" s="40">
        <f t="shared" si="0"/>
        <v>943053.57750000013</v>
      </c>
      <c r="M5" s="24">
        <f t="shared" si="0"/>
        <v>1465486.7812099999</v>
      </c>
      <c r="N5" s="24">
        <f t="shared" si="0"/>
        <v>5416.6187899999913</v>
      </c>
      <c r="O5" s="66">
        <f>M5/I5*100</f>
        <v>99.631748842921979</v>
      </c>
      <c r="P5" s="60">
        <f t="shared" ref="P5:P8" si="1">J5-M5</f>
        <v>339014.67651000014</v>
      </c>
      <c r="Q5" s="29">
        <f t="shared" ref="Q5:Q8" si="2">H5-J5</f>
        <v>239272.54227999994</v>
      </c>
      <c r="R5" s="74">
        <v>1103576</v>
      </c>
      <c r="S5" s="74">
        <f t="shared" ref="S5:S8" si="3">G5-M5</f>
        <v>15567322.21879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G7+G13+G34+G38+G41+G44+G92+G96</f>
        <v>5070963</v>
      </c>
      <c r="H6" s="42">
        <f t="shared" ref="H6:N6" si="4">H7+H13+H34+H38+H41+H44+H92+H96</f>
        <v>745617.3</v>
      </c>
      <c r="I6" s="42">
        <f t="shared" si="4"/>
        <v>534657.59999999986</v>
      </c>
      <c r="J6" s="29">
        <f t="shared" si="4"/>
        <v>551368.97836999991</v>
      </c>
      <c r="K6" s="29">
        <f>'1.02.'!M6</f>
        <v>305263.96490999998</v>
      </c>
      <c r="L6" s="42">
        <f t="shared" si="4"/>
        <v>225160.74494</v>
      </c>
      <c r="M6" s="29">
        <f t="shared" si="4"/>
        <v>530424.70984999998</v>
      </c>
      <c r="N6" s="29">
        <f t="shared" si="4"/>
        <v>4232.8901500000029</v>
      </c>
      <c r="O6" s="66">
        <f t="shared" ref="O6:O69" si="5">M6/I6*100</f>
        <v>99.208298890729338</v>
      </c>
      <c r="P6" s="60">
        <f t="shared" si="1"/>
        <v>20944.268519999925</v>
      </c>
      <c r="Q6" s="29">
        <f t="shared" si="2"/>
        <v>194248.32163000014</v>
      </c>
      <c r="R6" s="74">
        <v>1103577</v>
      </c>
      <c r="S6" s="74">
        <f t="shared" si="3"/>
        <v>4540538.2901499998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2180255</v>
      </c>
      <c r="H7" s="42">
        <f t="shared" ref="H7:N7" si="6">H8+H10</f>
        <v>276745</v>
      </c>
      <c r="I7" s="42">
        <f t="shared" si="6"/>
        <v>275000</v>
      </c>
      <c r="J7" s="42">
        <f t="shared" si="6"/>
        <v>275753.76974999998</v>
      </c>
      <c r="K7" s="29">
        <f>'1.02.'!M7</f>
        <v>164988.70772999999</v>
      </c>
      <c r="L7" s="42">
        <f t="shared" si="6"/>
        <v>109575.06202</v>
      </c>
      <c r="M7" s="42">
        <f t="shared" si="6"/>
        <v>274563.76974999998</v>
      </c>
      <c r="N7" s="42">
        <f t="shared" si="6"/>
        <v>436.23025000000052</v>
      </c>
      <c r="O7" s="68">
        <f t="shared" si="5"/>
        <v>99.841370818181801</v>
      </c>
      <c r="P7" s="60">
        <f t="shared" si="1"/>
        <v>1190</v>
      </c>
      <c r="Q7" s="29">
        <f t="shared" si="2"/>
        <v>991.23025000002235</v>
      </c>
      <c r="R7" s="74">
        <v>1103578</v>
      </c>
      <c r="S7" s="74">
        <f t="shared" si="3"/>
        <v>1905691.23025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7">G9</f>
        <v>2014974</v>
      </c>
      <c r="H8" s="59">
        <f t="shared" si="7"/>
        <v>250000</v>
      </c>
      <c r="I8" s="59">
        <f t="shared" si="7"/>
        <v>250000</v>
      </c>
      <c r="J8" s="33">
        <f>J9</f>
        <v>250000</v>
      </c>
      <c r="K8" s="29">
        <f>'1.02.'!M8</f>
        <v>150000</v>
      </c>
      <c r="L8" s="29">
        <f t="shared" si="7"/>
        <v>100000</v>
      </c>
      <c r="M8" s="60">
        <f t="shared" si="7"/>
        <v>250000</v>
      </c>
      <c r="N8" s="29">
        <f t="shared" si="7"/>
        <v>0</v>
      </c>
      <c r="O8" s="68">
        <f t="shared" si="5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1764974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250000</v>
      </c>
      <c r="I9" s="37">
        <v>250000</v>
      </c>
      <c r="J9" s="75">
        <f>M9</f>
        <v>250000</v>
      </c>
      <c r="K9" s="35">
        <f>'1.02.'!M9</f>
        <v>150000</v>
      </c>
      <c r="L9" s="35">
        <v>100000</v>
      </c>
      <c r="M9" s="35">
        <f>K9+L9</f>
        <v>250000</v>
      </c>
      <c r="N9" s="35">
        <f>I9-M9</f>
        <v>0</v>
      </c>
      <c r="O9" s="70">
        <f t="shared" si="5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1764974</v>
      </c>
      <c r="T9" s="62">
        <f>G9-J9</f>
        <v>1764974</v>
      </c>
    </row>
    <row r="10" spans="1:20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165281</v>
      </c>
      <c r="H10" s="59">
        <f t="shared" ref="H10:N10" si="8">H11+H12</f>
        <v>26745</v>
      </c>
      <c r="I10" s="59">
        <f t="shared" si="8"/>
        <v>25000</v>
      </c>
      <c r="J10" s="33">
        <f>J11+J12</f>
        <v>25753.769749999999</v>
      </c>
      <c r="K10" s="29">
        <f>'1.02.'!M10</f>
        <v>14988.70773</v>
      </c>
      <c r="L10" s="29">
        <f t="shared" si="8"/>
        <v>9575.0620199999994</v>
      </c>
      <c r="M10" s="29">
        <f t="shared" si="8"/>
        <v>24563.769749999999</v>
      </c>
      <c r="N10" s="29">
        <f t="shared" si="8"/>
        <v>436.23025000000052</v>
      </c>
      <c r="O10" s="68">
        <f t="shared" si="5"/>
        <v>98.255078999999995</v>
      </c>
      <c r="P10" s="60">
        <f t="shared" ref="P10:P73" si="9">J10-M10</f>
        <v>1190</v>
      </c>
      <c r="Q10" s="29">
        <f t="shared" ref="Q10:Q73" si="10">H10-J10</f>
        <v>991.23025000000052</v>
      </c>
      <c r="R10" s="74">
        <v>1103581</v>
      </c>
      <c r="S10" s="74">
        <f t="shared" ref="S10:S73" si="11">G10-M10</f>
        <v>140717.23024999999</v>
      </c>
      <c r="T10" s="62">
        <f t="shared" ref="T10:T44" si="12">G10-J10</f>
        <v>139527.23024999999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/>
      <c r="J11" s="75">
        <v>1190</v>
      </c>
      <c r="K11" s="35">
        <f>'1.02.'!M11</f>
        <v>0</v>
      </c>
      <c r="L11" s="35"/>
      <c r="M11" s="35">
        <f>K11+L11</f>
        <v>0</v>
      </c>
      <c r="N11" s="35">
        <f>I11-M11</f>
        <v>0</v>
      </c>
      <c r="O11" s="70" t="e">
        <f t="shared" si="5"/>
        <v>#DIV/0!</v>
      </c>
      <c r="P11" s="71">
        <f t="shared" si="9"/>
        <v>1190</v>
      </c>
      <c r="Q11" s="35">
        <f t="shared" si="10"/>
        <v>555</v>
      </c>
      <c r="R11" s="72">
        <v>1103582</v>
      </c>
      <c r="S11" s="72">
        <f t="shared" si="11"/>
        <v>1745</v>
      </c>
      <c r="T11" s="62">
        <f t="shared" si="12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v>163536</v>
      </c>
      <c r="H12" s="37">
        <v>25000</v>
      </c>
      <c r="I12" s="37">
        <v>25000</v>
      </c>
      <c r="J12" s="75">
        <f>M12</f>
        <v>24563.769749999999</v>
      </c>
      <c r="K12" s="35">
        <f>'1.02.'!M12</f>
        <v>14988.70773</v>
      </c>
      <c r="L12" s="35">
        <v>9575.0620199999994</v>
      </c>
      <c r="M12" s="35">
        <f>K12+L12</f>
        <v>24563.769749999999</v>
      </c>
      <c r="N12" s="35">
        <f>I12-M12</f>
        <v>436.23025000000052</v>
      </c>
      <c r="O12" s="70">
        <f t="shared" si="5"/>
        <v>98.255078999999995</v>
      </c>
      <c r="P12" s="71">
        <f t="shared" si="9"/>
        <v>0</v>
      </c>
      <c r="Q12" s="35">
        <f t="shared" si="10"/>
        <v>436.23025000000052</v>
      </c>
      <c r="R12" s="72">
        <v>1103583</v>
      </c>
      <c r="S12" s="72">
        <f t="shared" si="11"/>
        <v>138972.23024999999</v>
      </c>
      <c r="T12" s="62">
        <f t="shared" si="12"/>
        <v>138972.23024999999</v>
      </c>
    </row>
    <row r="13" spans="1:20" ht="51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3">G14</f>
        <v>260651</v>
      </c>
      <c r="H13" s="33">
        <f t="shared" si="13"/>
        <v>59657</v>
      </c>
      <c r="I13" s="33">
        <f t="shared" si="13"/>
        <v>52129.599999999999</v>
      </c>
      <c r="J13" s="29">
        <f t="shared" si="13"/>
        <v>58089.208619999998</v>
      </c>
      <c r="K13" s="29">
        <f>'1.02.'!M13</f>
        <v>15275.257180000001</v>
      </c>
      <c r="L13" s="29">
        <f t="shared" si="13"/>
        <v>35286.303090000001</v>
      </c>
      <c r="M13" s="29">
        <f t="shared" si="13"/>
        <v>50561.560269999994</v>
      </c>
      <c r="N13" s="29">
        <f t="shared" si="13"/>
        <v>1568.0397300000025</v>
      </c>
      <c r="O13" s="68">
        <f t="shared" si="5"/>
        <v>96.992035753199715</v>
      </c>
      <c r="P13" s="71">
        <f t="shared" si="9"/>
        <v>7527.6483500000031</v>
      </c>
      <c r="Q13" s="35">
        <f t="shared" si="10"/>
        <v>1567.7913800000024</v>
      </c>
      <c r="R13" s="72">
        <v>1103584</v>
      </c>
      <c r="S13" s="72">
        <f t="shared" si="11"/>
        <v>210089.43973000001</v>
      </c>
      <c r="T13" s="62">
        <f t="shared" si="12"/>
        <v>202561.79138000001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SUM(G15:G33)</f>
        <v>260651</v>
      </c>
      <c r="H14" s="59">
        <f t="shared" ref="H14:J14" si="14">SUM(H15:H33)</f>
        <v>59657</v>
      </c>
      <c r="I14" s="59">
        <f t="shared" si="14"/>
        <v>52129.599999999999</v>
      </c>
      <c r="J14" s="29">
        <f t="shared" si="14"/>
        <v>58089.208619999998</v>
      </c>
      <c r="K14" s="29">
        <f>'1.02.'!M14</f>
        <v>15275.257180000001</v>
      </c>
      <c r="L14" s="29">
        <f>SUM(L15:L33)</f>
        <v>35286.303090000001</v>
      </c>
      <c r="M14" s="29">
        <f t="shared" ref="M14:N14" si="15">SUM(M15:M33)</f>
        <v>50561.560269999994</v>
      </c>
      <c r="N14" s="29">
        <f t="shared" si="15"/>
        <v>1568.0397300000025</v>
      </c>
      <c r="O14" s="68">
        <f t="shared" si="5"/>
        <v>96.992035753199715</v>
      </c>
      <c r="P14" s="71">
        <f t="shared" si="9"/>
        <v>7527.6483500000031</v>
      </c>
      <c r="Q14" s="35">
        <f t="shared" si="10"/>
        <v>1567.7913800000024</v>
      </c>
      <c r="R14" s="72">
        <v>1103585</v>
      </c>
      <c r="S14" s="72">
        <f t="shared" si="11"/>
        <v>210089.43973000001</v>
      </c>
      <c r="T14" s="62">
        <f t="shared" si="12"/>
        <v>202561.79138000001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v>121539</v>
      </c>
      <c r="H15" s="26">
        <v>20000</v>
      </c>
      <c r="I15" s="26">
        <v>20000</v>
      </c>
      <c r="J15" s="75">
        <f>M15</f>
        <v>19989.048999999999</v>
      </c>
      <c r="K15" s="35">
        <f>'1.02.'!M15</f>
        <v>10000</v>
      </c>
      <c r="L15" s="27">
        <v>9989.0490000000009</v>
      </c>
      <c r="M15" s="71">
        <f>K15+L15</f>
        <v>19989.048999999999</v>
      </c>
      <c r="N15" s="35">
        <f>I15-M15</f>
        <v>10.951000000000931</v>
      </c>
      <c r="O15" s="70">
        <f t="shared" si="5"/>
        <v>99.945245</v>
      </c>
      <c r="P15" s="71">
        <f t="shared" si="9"/>
        <v>0</v>
      </c>
      <c r="Q15" s="35">
        <f t="shared" si="10"/>
        <v>10.951000000000931</v>
      </c>
      <c r="R15" s="72">
        <v>1103586</v>
      </c>
      <c r="S15" s="72">
        <f t="shared" si="11"/>
        <v>101549.951</v>
      </c>
      <c r="T15" s="62">
        <f t="shared" si="12"/>
        <v>101549.951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v>17318</v>
      </c>
      <c r="H16" s="26">
        <v>15907.6</v>
      </c>
      <c r="I16" s="26">
        <v>15907.6</v>
      </c>
      <c r="J16" s="75">
        <f t="shared" ref="J16:J33" si="16">M16</f>
        <v>14418.852999999999</v>
      </c>
      <c r="K16" s="35">
        <f>'1.02.'!M16</f>
        <v>0</v>
      </c>
      <c r="L16" s="27">
        <v>14418.852999999999</v>
      </c>
      <c r="M16" s="71">
        <f t="shared" ref="M16:M33" si="17">K16+L16</f>
        <v>14418.852999999999</v>
      </c>
      <c r="N16" s="35">
        <f t="shared" ref="N16:N33" si="18">I16-M16</f>
        <v>1488.7470000000012</v>
      </c>
      <c r="O16" s="70">
        <f t="shared" si="5"/>
        <v>90.641284668963252</v>
      </c>
      <c r="P16" s="71">
        <f t="shared" si="9"/>
        <v>0</v>
      </c>
      <c r="Q16" s="35">
        <f t="shared" si="10"/>
        <v>1488.7470000000012</v>
      </c>
      <c r="R16" s="72">
        <v>1103587</v>
      </c>
      <c r="S16" s="72">
        <f t="shared" si="11"/>
        <v>2899.1470000000008</v>
      </c>
      <c r="T16" s="62">
        <f t="shared" si="12"/>
        <v>2899.1470000000008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3401.2</v>
      </c>
      <c r="I17" s="26">
        <v>3401.2</v>
      </c>
      <c r="J17" s="75">
        <f t="shared" si="16"/>
        <v>3401.172</v>
      </c>
      <c r="K17" s="35">
        <f>'1.02.'!M17</f>
        <v>813.428</v>
      </c>
      <c r="L17" s="27">
        <v>2587.7440000000001</v>
      </c>
      <c r="M17" s="71">
        <f t="shared" si="17"/>
        <v>3401.172</v>
      </c>
      <c r="N17" s="35">
        <f t="shared" si="18"/>
        <v>2.7999999999792635E-2</v>
      </c>
      <c r="O17" s="70">
        <f t="shared" si="5"/>
        <v>99.999176761143133</v>
      </c>
      <c r="P17" s="71">
        <f t="shared" si="9"/>
        <v>0</v>
      </c>
      <c r="Q17" s="35">
        <f t="shared" si="10"/>
        <v>2.7999999999792635E-2</v>
      </c>
      <c r="R17" s="72">
        <v>1103588</v>
      </c>
      <c r="S17" s="72">
        <f t="shared" si="11"/>
        <v>16854.828000000001</v>
      </c>
      <c r="T17" s="62">
        <f t="shared" si="12"/>
        <v>16854.828000000001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v>4860</v>
      </c>
      <c r="H18" s="26">
        <v>1001.3</v>
      </c>
      <c r="I18" s="26">
        <v>1001.3</v>
      </c>
      <c r="J18" s="75">
        <f t="shared" si="16"/>
        <v>982.16799999999989</v>
      </c>
      <c r="K18" s="35">
        <f>'1.02.'!M18</f>
        <v>275.50799999999998</v>
      </c>
      <c r="L18" s="27">
        <v>706.66</v>
      </c>
      <c r="M18" s="71">
        <f>K18+L18</f>
        <v>982.16799999999989</v>
      </c>
      <c r="N18" s="35">
        <f>I18-M18</f>
        <v>19.132000000000062</v>
      </c>
      <c r="O18" s="70">
        <f>M18/I18*100</f>
        <v>98.089283930889835</v>
      </c>
      <c r="P18" s="71">
        <f t="shared" si="9"/>
        <v>0</v>
      </c>
      <c r="Q18" s="35">
        <f t="shared" si="10"/>
        <v>19.132000000000062</v>
      </c>
      <c r="R18" s="72">
        <v>1103589</v>
      </c>
      <c r="S18" s="72">
        <f t="shared" si="11"/>
        <v>3877.8320000000003</v>
      </c>
      <c r="T18" s="62">
        <f t="shared" si="12"/>
        <v>3877.8320000000003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2095</v>
      </c>
      <c r="I19" s="26">
        <v>2095</v>
      </c>
      <c r="J19" s="75">
        <f t="shared" si="16"/>
        <v>2095</v>
      </c>
      <c r="K19" s="35">
        <f>'1.02.'!M19</f>
        <v>528</v>
      </c>
      <c r="L19" s="27">
        <v>1567</v>
      </c>
      <c r="M19" s="71">
        <f t="shared" si="17"/>
        <v>2095</v>
      </c>
      <c r="N19" s="35">
        <f t="shared" si="18"/>
        <v>0</v>
      </c>
      <c r="O19" s="70">
        <f t="shared" si="5"/>
        <v>100</v>
      </c>
      <c r="P19" s="71">
        <f t="shared" si="9"/>
        <v>0</v>
      </c>
      <c r="Q19" s="35">
        <f t="shared" si="10"/>
        <v>0</v>
      </c>
      <c r="R19" s="72">
        <v>1103590</v>
      </c>
      <c r="S19" s="72">
        <f t="shared" si="11"/>
        <v>6236</v>
      </c>
      <c r="T19" s="62">
        <f t="shared" si="12"/>
        <v>6236</v>
      </c>
    </row>
    <row r="20" spans="1:20" s="73" customFormat="1" ht="25.5">
      <c r="A20" s="9"/>
      <c r="B20" s="9"/>
      <c r="C20" s="9"/>
      <c r="D20" s="69"/>
      <c r="E20" s="69">
        <v>122</v>
      </c>
      <c r="F20" s="136" t="s">
        <v>91</v>
      </c>
      <c r="G20" s="26">
        <v>6943</v>
      </c>
      <c r="H20" s="26">
        <v>1256.5999999999999</v>
      </c>
      <c r="I20" s="26">
        <v>1256.5999999999999</v>
      </c>
      <c r="J20" s="75">
        <f t="shared" si="16"/>
        <v>1253.953</v>
      </c>
      <c r="K20" s="35">
        <f>'1.02.'!M20</f>
        <v>440</v>
      </c>
      <c r="L20" s="27">
        <v>813.95299999999997</v>
      </c>
      <c r="M20" s="71">
        <f t="shared" si="17"/>
        <v>1253.953</v>
      </c>
      <c r="N20" s="35">
        <f t="shared" si="18"/>
        <v>2.6469999999999345</v>
      </c>
      <c r="O20" s="70">
        <f t="shared" si="5"/>
        <v>99.789352220276939</v>
      </c>
      <c r="P20" s="71">
        <f t="shared" si="9"/>
        <v>0</v>
      </c>
      <c r="Q20" s="35">
        <f t="shared" si="10"/>
        <v>2.6469999999999345</v>
      </c>
      <c r="R20" s="72">
        <v>1103591</v>
      </c>
      <c r="S20" s="72">
        <f t="shared" si="11"/>
        <v>5689.0470000000005</v>
      </c>
      <c r="T20" s="62">
        <f t="shared" si="12"/>
        <v>5689.0470000000005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6"/>
        <v>0</v>
      </c>
      <c r="K21" s="35">
        <f>'1.02.'!M21</f>
        <v>0</v>
      </c>
      <c r="L21" s="27"/>
      <c r="M21" s="71">
        <f t="shared" si="17"/>
        <v>0</v>
      </c>
      <c r="N21" s="35">
        <f t="shared" si="18"/>
        <v>0</v>
      </c>
      <c r="O21" s="70" t="e">
        <f t="shared" si="5"/>
        <v>#DIV/0!</v>
      </c>
      <c r="P21" s="71">
        <f t="shared" si="9"/>
        <v>0</v>
      </c>
      <c r="Q21" s="35">
        <f t="shared" si="10"/>
        <v>0</v>
      </c>
      <c r="R21" s="72">
        <v>1103592</v>
      </c>
      <c r="S21" s="72">
        <f t="shared" si="11"/>
        <v>63</v>
      </c>
      <c r="T21" s="62">
        <f t="shared" si="12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v>4166</v>
      </c>
      <c r="H22" s="26">
        <v>912.4</v>
      </c>
      <c r="I22" s="26">
        <v>912.4</v>
      </c>
      <c r="J22" s="75">
        <f t="shared" si="16"/>
        <v>866.25399999999991</v>
      </c>
      <c r="K22" s="35">
        <f>'1.02.'!M22</f>
        <v>245.42599999999999</v>
      </c>
      <c r="L22" s="27">
        <v>620.82799999999997</v>
      </c>
      <c r="M22" s="71">
        <f t="shared" si="17"/>
        <v>866.25399999999991</v>
      </c>
      <c r="N22" s="35">
        <f t="shared" si="18"/>
        <v>46.146000000000072</v>
      </c>
      <c r="O22" s="70">
        <f t="shared" si="5"/>
        <v>94.942349846558514</v>
      </c>
      <c r="P22" s="71">
        <f t="shared" si="9"/>
        <v>0</v>
      </c>
      <c r="Q22" s="35">
        <f t="shared" si="10"/>
        <v>46.146000000000072</v>
      </c>
      <c r="R22" s="72">
        <v>1103593</v>
      </c>
      <c r="S22" s="72">
        <f t="shared" si="11"/>
        <v>3299.7460000000001</v>
      </c>
      <c r="T22" s="62">
        <f t="shared" si="12"/>
        <v>3299.7460000000001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2400</v>
      </c>
      <c r="I23" s="26">
        <v>2400</v>
      </c>
      <c r="J23" s="75">
        <f t="shared" si="16"/>
        <v>2400</v>
      </c>
      <c r="K23" s="35">
        <f>'1.02.'!M23</f>
        <v>1200</v>
      </c>
      <c r="L23" s="27">
        <v>1200</v>
      </c>
      <c r="M23" s="71">
        <f t="shared" si="17"/>
        <v>2400</v>
      </c>
      <c r="N23" s="35">
        <f t="shared" si="18"/>
        <v>0</v>
      </c>
      <c r="O23" s="70">
        <f t="shared" si="5"/>
        <v>100</v>
      </c>
      <c r="P23" s="71">
        <f t="shared" si="9"/>
        <v>0</v>
      </c>
      <c r="Q23" s="35">
        <f t="shared" si="10"/>
        <v>0</v>
      </c>
      <c r="R23" s="72">
        <v>1103594</v>
      </c>
      <c r="S23" s="72">
        <f t="shared" si="11"/>
        <v>16933</v>
      </c>
      <c r="T23" s="62">
        <f t="shared" si="12"/>
        <v>16933</v>
      </c>
    </row>
    <row r="24" spans="1:20" s="73" customFormat="1" ht="25.5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270</v>
      </c>
      <c r="I24" s="26">
        <v>270</v>
      </c>
      <c r="J24" s="75">
        <f t="shared" si="16"/>
        <v>270</v>
      </c>
      <c r="K24" s="35">
        <f>'1.02.'!M24</f>
        <v>135</v>
      </c>
      <c r="L24" s="27">
        <v>135</v>
      </c>
      <c r="M24" s="71">
        <f t="shared" si="17"/>
        <v>270</v>
      </c>
      <c r="N24" s="35">
        <f t="shared" si="18"/>
        <v>0</v>
      </c>
      <c r="O24" s="70">
        <f t="shared" si="5"/>
        <v>100</v>
      </c>
      <c r="P24" s="71">
        <f t="shared" si="9"/>
        <v>0</v>
      </c>
      <c r="Q24" s="35">
        <f t="shared" si="10"/>
        <v>0</v>
      </c>
      <c r="R24" s="72">
        <v>1103595</v>
      </c>
      <c r="S24" s="72">
        <f t="shared" si="11"/>
        <v>2859</v>
      </c>
      <c r="T24" s="62">
        <f t="shared" si="12"/>
        <v>2859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6"/>
        <v>0</v>
      </c>
      <c r="K25" s="35">
        <f>'1.02.'!M25</f>
        <v>0</v>
      </c>
      <c r="L25" s="27"/>
      <c r="M25" s="71">
        <f t="shared" si="17"/>
        <v>0</v>
      </c>
      <c r="N25" s="35">
        <f t="shared" si="18"/>
        <v>0</v>
      </c>
      <c r="O25" s="70" t="e">
        <f t="shared" si="5"/>
        <v>#DIV/0!</v>
      </c>
      <c r="P25" s="71">
        <f t="shared" si="9"/>
        <v>0</v>
      </c>
      <c r="Q25" s="35">
        <f t="shared" si="10"/>
        <v>0</v>
      </c>
      <c r="R25" s="72">
        <v>1103596</v>
      </c>
      <c r="S25" s="72">
        <f t="shared" si="11"/>
        <v>0</v>
      </c>
      <c r="T25" s="62">
        <f t="shared" si="12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/>
      <c r="I26" s="26"/>
      <c r="J26" s="75">
        <f t="shared" si="16"/>
        <v>0</v>
      </c>
      <c r="K26" s="35">
        <f>'1.02.'!M26</f>
        <v>0</v>
      </c>
      <c r="L26" s="27"/>
      <c r="M26" s="71">
        <f t="shared" si="17"/>
        <v>0</v>
      </c>
      <c r="N26" s="35">
        <f t="shared" si="18"/>
        <v>0</v>
      </c>
      <c r="O26" s="70" t="e">
        <f t="shared" si="5"/>
        <v>#DIV/0!</v>
      </c>
      <c r="P26" s="71">
        <f t="shared" si="9"/>
        <v>0</v>
      </c>
      <c r="Q26" s="35">
        <f t="shared" si="10"/>
        <v>0</v>
      </c>
      <c r="R26" s="72">
        <v>1103597</v>
      </c>
      <c r="S26" s="72">
        <f t="shared" si="11"/>
        <v>2075</v>
      </c>
      <c r="T26" s="62">
        <f t="shared" si="12"/>
        <v>2075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/>
      <c r="I27" s="26"/>
      <c r="J27" s="75">
        <f t="shared" si="16"/>
        <v>0</v>
      </c>
      <c r="K27" s="35">
        <f>'1.02.'!M27</f>
        <v>0</v>
      </c>
      <c r="L27" s="27"/>
      <c r="M27" s="35">
        <f t="shared" si="17"/>
        <v>0</v>
      </c>
      <c r="N27" s="35">
        <f t="shared" si="18"/>
        <v>0</v>
      </c>
      <c r="O27" s="70" t="e">
        <f t="shared" si="5"/>
        <v>#DIV/0!</v>
      </c>
      <c r="P27" s="71">
        <f t="shared" si="9"/>
        <v>0</v>
      </c>
      <c r="Q27" s="35">
        <f t="shared" si="10"/>
        <v>0</v>
      </c>
      <c r="R27" s="72">
        <v>1103598</v>
      </c>
      <c r="S27" s="72">
        <f t="shared" si="11"/>
        <v>4170</v>
      </c>
      <c r="T27" s="62">
        <f t="shared" si="12"/>
        <v>4170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2575.4</v>
      </c>
      <c r="I28" s="26">
        <v>2575.4</v>
      </c>
      <c r="J28" s="75">
        <f t="shared" si="16"/>
        <v>2575.3452699999998</v>
      </c>
      <c r="K28" s="35">
        <f>'1.02.'!M28</f>
        <v>1274.5351800000001</v>
      </c>
      <c r="L28" s="27">
        <v>1300.8100899999999</v>
      </c>
      <c r="M28" s="35">
        <f t="shared" si="17"/>
        <v>2575.3452699999998</v>
      </c>
      <c r="N28" s="35">
        <f t="shared" si="18"/>
        <v>5.4730000000290602E-2</v>
      </c>
      <c r="O28" s="70">
        <f t="shared" si="5"/>
        <v>99.997874893220455</v>
      </c>
      <c r="P28" s="71">
        <f t="shared" si="9"/>
        <v>0</v>
      </c>
      <c r="Q28" s="35">
        <f t="shared" si="10"/>
        <v>5.4730000000290602E-2</v>
      </c>
      <c r="R28" s="72">
        <v>1103599</v>
      </c>
      <c r="S28" s="72">
        <f t="shared" si="11"/>
        <v>8157.6547300000002</v>
      </c>
      <c r="T28" s="62">
        <f t="shared" si="12"/>
        <v>8157.6547300000002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>
        <v>5416.5</v>
      </c>
      <c r="I29" s="26">
        <v>338.1</v>
      </c>
      <c r="J29" s="75">
        <v>5416.4143599999998</v>
      </c>
      <c r="K29" s="35">
        <f>'1.02.'!M29</f>
        <v>0</v>
      </c>
      <c r="L29" s="27">
        <v>338.1</v>
      </c>
      <c r="M29" s="71">
        <f t="shared" si="17"/>
        <v>338.1</v>
      </c>
      <c r="N29" s="35">
        <f t="shared" si="18"/>
        <v>0</v>
      </c>
      <c r="O29" s="70">
        <f t="shared" si="5"/>
        <v>100</v>
      </c>
      <c r="P29" s="71">
        <f t="shared" si="9"/>
        <v>5078.3143599999994</v>
      </c>
      <c r="Q29" s="35">
        <f t="shared" si="10"/>
        <v>8.5640000000239525E-2</v>
      </c>
      <c r="R29" s="72">
        <v>1103600</v>
      </c>
      <c r="S29" s="72">
        <f t="shared" si="11"/>
        <v>6963.9</v>
      </c>
      <c r="T29" s="62">
        <f t="shared" si="12"/>
        <v>1885.5856400000002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122</v>
      </c>
      <c r="J30" s="75">
        <v>730</v>
      </c>
      <c r="K30" s="35">
        <f>'1.02.'!M30</f>
        <v>0</v>
      </c>
      <c r="L30" s="27">
        <v>121.666</v>
      </c>
      <c r="M30" s="71">
        <f t="shared" si="17"/>
        <v>121.666</v>
      </c>
      <c r="N30" s="35">
        <f t="shared" si="18"/>
        <v>0.33400000000000318</v>
      </c>
      <c r="O30" s="70">
        <f t="shared" si="5"/>
        <v>99.726229508196724</v>
      </c>
      <c r="P30" s="71">
        <f t="shared" si="9"/>
        <v>608.33400000000006</v>
      </c>
      <c r="Q30" s="35">
        <f t="shared" si="10"/>
        <v>0</v>
      </c>
      <c r="R30" s="72">
        <v>1103601</v>
      </c>
      <c r="S30" s="72">
        <f t="shared" si="11"/>
        <v>608.33400000000006</v>
      </c>
      <c r="T30" s="62">
        <f t="shared" si="12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v>2649</v>
      </c>
      <c r="H31" s="26">
        <v>2291</v>
      </c>
      <c r="I31" s="26">
        <v>450</v>
      </c>
      <c r="J31" s="35">
        <v>2290.9999899999998</v>
      </c>
      <c r="K31" s="35">
        <f>'1.02.'!M31</f>
        <v>0</v>
      </c>
      <c r="L31" s="27">
        <v>450</v>
      </c>
      <c r="M31" s="71">
        <f t="shared" si="17"/>
        <v>450</v>
      </c>
      <c r="N31" s="35">
        <f t="shared" si="18"/>
        <v>0</v>
      </c>
      <c r="O31" s="70">
        <f t="shared" si="5"/>
        <v>100</v>
      </c>
      <c r="P31" s="71">
        <f t="shared" si="9"/>
        <v>1840.9999899999998</v>
      </c>
      <c r="Q31" s="35">
        <f t="shared" si="10"/>
        <v>1.0000000202126103E-5</v>
      </c>
      <c r="R31" s="72">
        <v>1103602</v>
      </c>
      <c r="S31" s="72">
        <f t="shared" si="11"/>
        <v>2199</v>
      </c>
      <c r="T31" s="62">
        <f t="shared" si="12"/>
        <v>358.0000100000002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v>27054</v>
      </c>
      <c r="H32" s="26">
        <v>1400</v>
      </c>
      <c r="I32" s="26">
        <v>1400</v>
      </c>
      <c r="J32" s="75">
        <f t="shared" si="16"/>
        <v>1400</v>
      </c>
      <c r="K32" s="35">
        <f>'1.02.'!M32</f>
        <v>363.36</v>
      </c>
      <c r="L32" s="27">
        <v>1036.6400000000001</v>
      </c>
      <c r="M32" s="71">
        <f t="shared" si="17"/>
        <v>1400</v>
      </c>
      <c r="N32" s="35">
        <f t="shared" si="18"/>
        <v>0</v>
      </c>
      <c r="O32" s="70">
        <f t="shared" si="5"/>
        <v>100</v>
      </c>
      <c r="P32" s="71">
        <f t="shared" si="9"/>
        <v>0</v>
      </c>
      <c r="Q32" s="35">
        <f t="shared" si="10"/>
        <v>0</v>
      </c>
      <c r="R32" s="72">
        <v>1103603</v>
      </c>
      <c r="S32" s="72">
        <f t="shared" si="11"/>
        <v>25654</v>
      </c>
      <c r="T32" s="62">
        <f t="shared" si="12"/>
        <v>25654</v>
      </c>
    </row>
    <row r="33" spans="1:20" s="73" customFormat="1">
      <c r="A33" s="9"/>
      <c r="B33" s="9"/>
      <c r="C33" s="9"/>
      <c r="D33" s="69"/>
      <c r="E33" s="69">
        <v>169</v>
      </c>
      <c r="F33" s="136" t="s">
        <v>103</v>
      </c>
      <c r="G33" s="26"/>
      <c r="H33" s="26"/>
      <c r="I33" s="26"/>
      <c r="J33" s="75">
        <f t="shared" si="16"/>
        <v>0</v>
      </c>
      <c r="K33" s="35">
        <f>'1.02.'!M33</f>
        <v>0</v>
      </c>
      <c r="L33" s="27"/>
      <c r="M33" s="71">
        <f t="shared" si="17"/>
        <v>0</v>
      </c>
      <c r="N33" s="35">
        <f t="shared" si="18"/>
        <v>0</v>
      </c>
      <c r="O33" s="70" t="e">
        <f t="shared" si="5"/>
        <v>#DIV/0!</v>
      </c>
      <c r="P33" s="71">
        <f t="shared" si="9"/>
        <v>0</v>
      </c>
      <c r="Q33" s="35">
        <f t="shared" si="10"/>
        <v>0</v>
      </c>
      <c r="R33" s="72">
        <v>1103604</v>
      </c>
      <c r="S33" s="72">
        <f t="shared" si="11"/>
        <v>0</v>
      </c>
      <c r="T33" s="62">
        <f t="shared" si="12"/>
        <v>0</v>
      </c>
    </row>
    <row r="34" spans="1:20">
      <c r="A34" s="9"/>
      <c r="B34" s="9"/>
      <c r="C34" s="8" t="s">
        <v>16</v>
      </c>
      <c r="D34" s="69"/>
      <c r="E34" s="69"/>
      <c r="F34" s="120" t="s">
        <v>104</v>
      </c>
      <c r="G34" s="23">
        <f>G35+G36+G37</f>
        <v>0</v>
      </c>
      <c r="H34" s="23">
        <f t="shared" ref="H34:M34" si="19">H35+H36+H37</f>
        <v>0</v>
      </c>
      <c r="I34" s="23">
        <f t="shared" si="19"/>
        <v>0</v>
      </c>
      <c r="J34" s="23">
        <f t="shared" si="19"/>
        <v>0</v>
      </c>
      <c r="K34" s="35">
        <f>'1.02.'!M34</f>
        <v>0</v>
      </c>
      <c r="L34" s="24">
        <f t="shared" si="19"/>
        <v>0</v>
      </c>
      <c r="M34" s="38">
        <f t="shared" si="19"/>
        <v>0</v>
      </c>
      <c r="N34" s="24">
        <f>N35+N36+N37</f>
        <v>0</v>
      </c>
      <c r="O34" s="70" t="e">
        <f t="shared" si="5"/>
        <v>#DIV/0!</v>
      </c>
      <c r="P34" s="71">
        <f t="shared" si="9"/>
        <v>0</v>
      </c>
      <c r="Q34" s="35">
        <f t="shared" si="10"/>
        <v>0</v>
      </c>
      <c r="R34" s="72">
        <v>1103605</v>
      </c>
      <c r="S34" s="72">
        <f t="shared" si="11"/>
        <v>0</v>
      </c>
      <c r="T34" s="62">
        <f t="shared" si="12"/>
        <v>0</v>
      </c>
    </row>
    <row r="35" spans="1:20">
      <c r="A35" s="9"/>
      <c r="B35" s="9"/>
      <c r="C35" s="8"/>
      <c r="D35" s="69"/>
      <c r="E35" s="69">
        <v>413</v>
      </c>
      <c r="F35" s="78" t="s">
        <v>152</v>
      </c>
      <c r="G35" s="26"/>
      <c r="H35" s="26"/>
      <c r="I35" s="26"/>
      <c r="J35" s="105"/>
      <c r="K35" s="35">
        <f>'1.02.'!M35</f>
        <v>0</v>
      </c>
      <c r="L35" s="27"/>
      <c r="M35" s="71">
        <f t="shared" ref="M35:M37" si="20">K35+L35</f>
        <v>0</v>
      </c>
      <c r="N35" s="27"/>
      <c r="O35" s="70" t="e">
        <f t="shared" si="5"/>
        <v>#DIV/0!</v>
      </c>
      <c r="P35" s="71">
        <f t="shared" si="9"/>
        <v>0</v>
      </c>
      <c r="Q35" s="35">
        <f t="shared" si="10"/>
        <v>0</v>
      </c>
      <c r="R35" s="72">
        <v>1103606</v>
      </c>
      <c r="S35" s="72">
        <f t="shared" si="11"/>
        <v>0</v>
      </c>
      <c r="T35" s="62">
        <f t="shared" si="12"/>
        <v>0</v>
      </c>
    </row>
    <row r="36" spans="1:20" ht="25.5">
      <c r="A36" s="9"/>
      <c r="B36" s="9"/>
      <c r="C36" s="9"/>
      <c r="D36" s="69"/>
      <c r="E36" s="69">
        <v>414</v>
      </c>
      <c r="F36" s="50" t="s">
        <v>105</v>
      </c>
      <c r="G36" s="26"/>
      <c r="H36" s="26"/>
      <c r="I36" s="26"/>
      <c r="J36" s="105">
        <f>M36</f>
        <v>0</v>
      </c>
      <c r="K36" s="35">
        <f>'1.02.'!M36</f>
        <v>0</v>
      </c>
      <c r="L36" s="27"/>
      <c r="M36" s="71">
        <f t="shared" si="20"/>
        <v>0</v>
      </c>
      <c r="N36" s="35">
        <f t="shared" ref="N36:N37" si="21">I36-M36</f>
        <v>0</v>
      </c>
      <c r="O36" s="70" t="e">
        <f t="shared" si="5"/>
        <v>#DIV/0!</v>
      </c>
      <c r="P36" s="71">
        <f t="shared" si="9"/>
        <v>0</v>
      </c>
      <c r="Q36" s="35">
        <f t="shared" si="10"/>
        <v>0</v>
      </c>
      <c r="R36" s="72">
        <v>1103607</v>
      </c>
      <c r="S36" s="72">
        <f t="shared" si="11"/>
        <v>0</v>
      </c>
      <c r="T36" s="62">
        <f t="shared" si="12"/>
        <v>0</v>
      </c>
    </row>
    <row r="37" spans="1:20">
      <c r="A37" s="9"/>
      <c r="B37" s="9"/>
      <c r="C37" s="9"/>
      <c r="D37" s="69"/>
      <c r="E37" s="69">
        <v>419</v>
      </c>
      <c r="F37" s="86" t="s">
        <v>153</v>
      </c>
      <c r="G37" s="26"/>
      <c r="H37" s="26"/>
      <c r="I37" s="26"/>
      <c r="J37" s="105">
        <f>M37</f>
        <v>0</v>
      </c>
      <c r="K37" s="35">
        <f>'1.02.'!M37</f>
        <v>0</v>
      </c>
      <c r="L37" s="27"/>
      <c r="M37" s="71">
        <f t="shared" si="20"/>
        <v>0</v>
      </c>
      <c r="N37" s="35">
        <f t="shared" si="21"/>
        <v>0</v>
      </c>
      <c r="O37" s="70" t="e">
        <f t="shared" si="5"/>
        <v>#DIV/0!</v>
      </c>
      <c r="P37" s="71">
        <f t="shared" si="9"/>
        <v>0</v>
      </c>
      <c r="Q37" s="35">
        <f t="shared" si="10"/>
        <v>0</v>
      </c>
      <c r="R37" s="72">
        <v>1103608</v>
      </c>
      <c r="S37" s="72">
        <f t="shared" si="11"/>
        <v>0</v>
      </c>
    </row>
    <row r="38" spans="1:20" ht="25.5">
      <c r="A38" s="9"/>
      <c r="B38" s="9"/>
      <c r="C38" s="8" t="s">
        <v>15</v>
      </c>
      <c r="D38" s="21"/>
      <c r="E38" s="21"/>
      <c r="F38" s="120" t="s">
        <v>106</v>
      </c>
      <c r="G38" s="59">
        <f t="shared" ref="G38:N38" si="22">G39</f>
        <v>10400</v>
      </c>
      <c r="H38" s="59">
        <f t="shared" si="22"/>
        <v>0</v>
      </c>
      <c r="I38" s="59">
        <f>I39</f>
        <v>0</v>
      </c>
      <c r="J38" s="33">
        <f t="shared" si="22"/>
        <v>0</v>
      </c>
      <c r="K38" s="35">
        <f>'1.02.'!M38</f>
        <v>0</v>
      </c>
      <c r="L38" s="29">
        <f t="shared" si="22"/>
        <v>0</v>
      </c>
      <c r="M38" s="29">
        <f t="shared" si="22"/>
        <v>0</v>
      </c>
      <c r="N38" s="29">
        <f t="shared" si="22"/>
        <v>0</v>
      </c>
      <c r="O38" s="70" t="e">
        <f t="shared" si="5"/>
        <v>#DIV/0!</v>
      </c>
      <c r="P38" s="71">
        <f t="shared" si="9"/>
        <v>0</v>
      </c>
      <c r="Q38" s="35">
        <f t="shared" si="10"/>
        <v>0</v>
      </c>
      <c r="R38" s="72">
        <v>1103609</v>
      </c>
      <c r="S38" s="72">
        <f t="shared" si="11"/>
        <v>10400</v>
      </c>
      <c r="T38" s="62">
        <f t="shared" si="12"/>
        <v>10400</v>
      </c>
    </row>
    <row r="39" spans="1:20">
      <c r="A39" s="9"/>
      <c r="B39" s="9"/>
      <c r="C39" s="8"/>
      <c r="D39" s="54" t="s">
        <v>35</v>
      </c>
      <c r="E39" s="69"/>
      <c r="F39" s="122"/>
      <c r="G39" s="37">
        <f>G40</f>
        <v>10400</v>
      </c>
      <c r="H39" s="37">
        <f>H40</f>
        <v>0</v>
      </c>
      <c r="I39" s="37">
        <f>I40</f>
        <v>0</v>
      </c>
      <c r="J39" s="75">
        <f>J40</f>
        <v>0</v>
      </c>
      <c r="K39" s="35">
        <f>'1.02.'!M39</f>
        <v>0</v>
      </c>
      <c r="L39" s="35"/>
      <c r="M39" s="71">
        <f>M40</f>
        <v>0</v>
      </c>
      <c r="N39" s="35">
        <f>N40</f>
        <v>0</v>
      </c>
      <c r="O39" s="70" t="e">
        <f t="shared" si="5"/>
        <v>#DIV/0!</v>
      </c>
      <c r="P39" s="71">
        <f t="shared" si="9"/>
        <v>0</v>
      </c>
      <c r="Q39" s="35">
        <f t="shared" si="10"/>
        <v>0</v>
      </c>
      <c r="R39" s="72">
        <v>1103610</v>
      </c>
      <c r="S39" s="72">
        <f t="shared" si="11"/>
        <v>10400</v>
      </c>
      <c r="T39" s="62">
        <f t="shared" si="12"/>
        <v>10400</v>
      </c>
    </row>
    <row r="40" spans="1:20" ht="25.5">
      <c r="A40" s="9"/>
      <c r="B40" s="9"/>
      <c r="C40" s="9"/>
      <c r="D40" s="69"/>
      <c r="E40" s="69">
        <v>155</v>
      </c>
      <c r="F40" s="117" t="s">
        <v>107</v>
      </c>
      <c r="G40" s="37">
        <v>10400</v>
      </c>
      <c r="H40" s="37">
        <v>0</v>
      </c>
      <c r="I40" s="37">
        <v>0</v>
      </c>
      <c r="J40" s="75">
        <f>M40</f>
        <v>0</v>
      </c>
      <c r="K40" s="35">
        <f>'1.02.'!M40</f>
        <v>0</v>
      </c>
      <c r="L40" s="35"/>
      <c r="M40" s="71">
        <f t="shared" ref="M40" si="23">K40+L40</f>
        <v>0</v>
      </c>
      <c r="N40" s="35">
        <f t="shared" ref="N40" si="24">I40-M40</f>
        <v>0</v>
      </c>
      <c r="O40" s="70" t="e">
        <f t="shared" si="5"/>
        <v>#DIV/0!</v>
      </c>
      <c r="P40" s="71">
        <f t="shared" si="9"/>
        <v>0</v>
      </c>
      <c r="Q40" s="35">
        <f t="shared" si="10"/>
        <v>0</v>
      </c>
      <c r="R40" s="72">
        <v>1103611</v>
      </c>
      <c r="S40" s="72">
        <f t="shared" si="11"/>
        <v>10400</v>
      </c>
      <c r="T40" s="62">
        <f t="shared" si="12"/>
        <v>10400</v>
      </c>
    </row>
    <row r="41" spans="1:20" ht="51">
      <c r="A41" s="118"/>
      <c r="B41" s="118"/>
      <c r="C41" s="119" t="s">
        <v>61</v>
      </c>
      <c r="D41" s="116"/>
      <c r="E41" s="116"/>
      <c r="F41" s="120" t="s">
        <v>62</v>
      </c>
      <c r="G41" s="37">
        <f t="shared" ref="G41:J42" si="25">G42</f>
        <v>1064315</v>
      </c>
      <c r="H41" s="37">
        <f t="shared" si="25"/>
        <v>2153.3000000000002</v>
      </c>
      <c r="I41" s="37">
        <f t="shared" si="25"/>
        <v>2153.3000000000002</v>
      </c>
      <c r="J41" s="75">
        <f t="shared" si="25"/>
        <v>0</v>
      </c>
      <c r="K41" s="35">
        <f>'1.02.'!M41</f>
        <v>0</v>
      </c>
      <c r="L41" s="35"/>
      <c r="M41" s="71">
        <f t="shared" ref="M41:N42" si="26">M42</f>
        <v>0</v>
      </c>
      <c r="N41" s="35">
        <f t="shared" si="26"/>
        <v>2153.3000000000002</v>
      </c>
      <c r="O41" s="70">
        <f t="shared" si="5"/>
        <v>0</v>
      </c>
      <c r="P41" s="71">
        <f t="shared" si="9"/>
        <v>0</v>
      </c>
      <c r="Q41" s="35">
        <f t="shared" si="10"/>
        <v>2153.3000000000002</v>
      </c>
      <c r="R41" s="72">
        <v>1103612</v>
      </c>
      <c r="S41" s="72">
        <f t="shared" si="11"/>
        <v>1064315</v>
      </c>
    </row>
    <row r="42" spans="1:20">
      <c r="A42" s="118"/>
      <c r="B42" s="118"/>
      <c r="C42" s="116"/>
      <c r="D42" s="121" t="s">
        <v>35</v>
      </c>
      <c r="E42" s="118"/>
      <c r="F42" s="122"/>
      <c r="G42" s="37">
        <f t="shared" si="25"/>
        <v>1064315</v>
      </c>
      <c r="H42" s="37">
        <f t="shared" si="25"/>
        <v>2153.3000000000002</v>
      </c>
      <c r="I42" s="37">
        <f t="shared" si="25"/>
        <v>2153.3000000000002</v>
      </c>
      <c r="J42" s="75">
        <f t="shared" si="25"/>
        <v>0</v>
      </c>
      <c r="K42" s="35">
        <f>'1.02.'!M42</f>
        <v>0</v>
      </c>
      <c r="L42" s="35"/>
      <c r="M42" s="71">
        <f t="shared" si="26"/>
        <v>0</v>
      </c>
      <c r="N42" s="35">
        <f t="shared" si="26"/>
        <v>2153.3000000000002</v>
      </c>
      <c r="O42" s="70">
        <f t="shared" si="5"/>
        <v>0</v>
      </c>
      <c r="P42" s="71">
        <f t="shared" si="9"/>
        <v>0</v>
      </c>
      <c r="Q42" s="35">
        <f t="shared" si="10"/>
        <v>2153.3000000000002</v>
      </c>
      <c r="R42" s="72">
        <v>1103613</v>
      </c>
      <c r="S42" s="72">
        <f t="shared" si="11"/>
        <v>1064315</v>
      </c>
    </row>
    <row r="43" spans="1:20" ht="25.5">
      <c r="A43" s="118"/>
      <c r="B43" s="118"/>
      <c r="C43" s="118"/>
      <c r="D43" s="118"/>
      <c r="E43" s="118">
        <v>361</v>
      </c>
      <c r="F43" s="117" t="s">
        <v>63</v>
      </c>
      <c r="G43" s="37">
        <v>1064315</v>
      </c>
      <c r="H43" s="37">
        <v>2153.3000000000002</v>
      </c>
      <c r="I43" s="37">
        <v>2153.3000000000002</v>
      </c>
      <c r="J43" s="75">
        <f>M43</f>
        <v>0</v>
      </c>
      <c r="K43" s="35">
        <f>'1.02.'!M43</f>
        <v>0</v>
      </c>
      <c r="L43" s="35"/>
      <c r="M43" s="71">
        <f t="shared" ref="M43" si="27">K43+L43</f>
        <v>0</v>
      </c>
      <c r="N43" s="35">
        <f t="shared" ref="N43" si="28">I43-M43</f>
        <v>2153.3000000000002</v>
      </c>
      <c r="O43" s="70">
        <f t="shared" si="5"/>
        <v>0</v>
      </c>
      <c r="P43" s="71">
        <f t="shared" si="9"/>
        <v>0</v>
      </c>
      <c r="Q43" s="35">
        <f t="shared" si="10"/>
        <v>2153.3000000000002</v>
      </c>
      <c r="R43" s="72">
        <v>1103614</v>
      </c>
      <c r="S43" s="72">
        <f t="shared" si="11"/>
        <v>1064315</v>
      </c>
    </row>
    <row r="44" spans="1:20" s="73" customFormat="1" ht="25.5">
      <c r="A44" s="8"/>
      <c r="B44" s="8"/>
      <c r="C44" s="8" t="s">
        <v>21</v>
      </c>
      <c r="D44" s="10"/>
      <c r="E44" s="10"/>
      <c r="F44" s="137" t="s">
        <v>108</v>
      </c>
      <c r="G44" s="81">
        <f>G45</f>
        <v>1334726</v>
      </c>
      <c r="H44" s="81">
        <f t="shared" ref="H44:N45" si="29">H45</f>
        <v>393672</v>
      </c>
      <c r="I44" s="81">
        <f t="shared" si="29"/>
        <v>204136</v>
      </c>
      <c r="J44" s="81">
        <f t="shared" si="29"/>
        <v>204136</v>
      </c>
      <c r="K44" s="29">
        <f>'1.02.'!M44</f>
        <v>125000</v>
      </c>
      <c r="L44" s="81">
        <f t="shared" si="29"/>
        <v>79136</v>
      </c>
      <c r="M44" s="81">
        <f t="shared" si="29"/>
        <v>204136</v>
      </c>
      <c r="N44" s="81">
        <f t="shared" si="29"/>
        <v>0</v>
      </c>
      <c r="O44" s="68">
        <f t="shared" si="5"/>
        <v>100</v>
      </c>
      <c r="P44" s="71">
        <f t="shared" si="9"/>
        <v>0</v>
      </c>
      <c r="Q44" s="35">
        <f t="shared" si="10"/>
        <v>189536</v>
      </c>
      <c r="R44" s="72">
        <v>1103615</v>
      </c>
      <c r="S44" s="72">
        <f t="shared" si="11"/>
        <v>1130590</v>
      </c>
      <c r="T44" s="62">
        <f t="shared" si="12"/>
        <v>1130590</v>
      </c>
    </row>
    <row r="45" spans="1:20" s="73" customFormat="1">
      <c r="A45" s="8"/>
      <c r="B45" s="8"/>
      <c r="C45" s="8"/>
      <c r="D45" s="43" t="s">
        <v>7</v>
      </c>
      <c r="E45" s="44"/>
      <c r="F45" s="135" t="s">
        <v>85</v>
      </c>
      <c r="G45" s="82">
        <f>G46</f>
        <v>1334726</v>
      </c>
      <c r="H45" s="82">
        <f t="shared" si="29"/>
        <v>393672</v>
      </c>
      <c r="I45" s="82">
        <f t="shared" si="29"/>
        <v>204136</v>
      </c>
      <c r="J45" s="82">
        <f t="shared" si="29"/>
        <v>204136</v>
      </c>
      <c r="K45" s="29">
        <f>'1.02.'!M45</f>
        <v>125000</v>
      </c>
      <c r="L45" s="82">
        <f t="shared" si="29"/>
        <v>79136</v>
      </c>
      <c r="M45" s="82">
        <f t="shared" si="29"/>
        <v>204136</v>
      </c>
      <c r="N45" s="82">
        <f t="shared" si="29"/>
        <v>0</v>
      </c>
      <c r="O45" s="70">
        <f t="shared" si="5"/>
        <v>100</v>
      </c>
      <c r="P45" s="71">
        <f t="shared" si="9"/>
        <v>0</v>
      </c>
      <c r="Q45" s="35">
        <f t="shared" si="10"/>
        <v>189536</v>
      </c>
      <c r="R45" s="72">
        <v>1103616</v>
      </c>
      <c r="S45" s="72">
        <f t="shared" si="11"/>
        <v>1130590</v>
      </c>
      <c r="T45" s="62"/>
    </row>
    <row r="46" spans="1:20" s="73" customFormat="1" ht="25.5">
      <c r="A46" s="8"/>
      <c r="B46" s="8"/>
      <c r="C46" s="8"/>
      <c r="D46" s="45"/>
      <c r="E46" s="46">
        <v>339</v>
      </c>
      <c r="F46" s="138" t="s">
        <v>109</v>
      </c>
      <c r="G46" s="84">
        <f>SUM(G47:G54)</f>
        <v>1334726</v>
      </c>
      <c r="H46" s="84">
        <f t="shared" ref="H46:J46" si="30">SUM(H47:H54)</f>
        <v>393672</v>
      </c>
      <c r="I46" s="84">
        <f>SUM(I47:I54)</f>
        <v>204136</v>
      </c>
      <c r="J46" s="108">
        <f t="shared" si="30"/>
        <v>204136</v>
      </c>
      <c r="K46" s="35">
        <f>'1.02.'!M46</f>
        <v>125000</v>
      </c>
      <c r="L46" s="84">
        <f>SUM(L47:L54)</f>
        <v>79136</v>
      </c>
      <c r="M46" s="84">
        <f>SUM(M47:M54)</f>
        <v>204136</v>
      </c>
      <c r="N46" s="84">
        <f>SUM(N47:N54)</f>
        <v>0</v>
      </c>
      <c r="O46" s="70">
        <f t="shared" si="5"/>
        <v>100</v>
      </c>
      <c r="P46" s="71">
        <f t="shared" si="9"/>
        <v>0</v>
      </c>
      <c r="Q46" s="35">
        <f t="shared" si="10"/>
        <v>189536</v>
      </c>
      <c r="R46" s="72">
        <v>1103617</v>
      </c>
      <c r="S46" s="72">
        <f t="shared" si="11"/>
        <v>1130590</v>
      </c>
      <c r="T46" s="62"/>
    </row>
    <row r="47" spans="1:20" s="73" customFormat="1">
      <c r="A47" s="8"/>
      <c r="B47" s="8"/>
      <c r="C47" s="8"/>
      <c r="D47" s="45"/>
      <c r="E47" s="46"/>
      <c r="F47" s="47" t="s">
        <v>46</v>
      </c>
      <c r="G47" s="83">
        <f>G57+G66+G75+G84</f>
        <v>461583</v>
      </c>
      <c r="H47" s="83">
        <f t="shared" ref="H47:M47" si="31">H57+H66+H75+H84</f>
        <v>36434</v>
      </c>
      <c r="I47" s="83">
        <f t="shared" si="31"/>
        <v>36434</v>
      </c>
      <c r="J47" s="83">
        <f t="shared" si="31"/>
        <v>36434</v>
      </c>
      <c r="K47" s="35">
        <f>'1.02.'!M47</f>
        <v>0</v>
      </c>
      <c r="L47" s="83">
        <f t="shared" si="31"/>
        <v>36434</v>
      </c>
      <c r="M47" s="83">
        <f t="shared" si="31"/>
        <v>36434</v>
      </c>
      <c r="N47" s="35">
        <f t="shared" ref="N47:N64" si="32">I47-M47</f>
        <v>0</v>
      </c>
      <c r="O47" s="70">
        <f t="shared" si="5"/>
        <v>100</v>
      </c>
      <c r="P47" s="71">
        <f t="shared" si="9"/>
        <v>0</v>
      </c>
      <c r="Q47" s="35">
        <f t="shared" si="10"/>
        <v>0</v>
      </c>
      <c r="R47" s="72">
        <v>1103618</v>
      </c>
      <c r="S47" s="72">
        <f t="shared" si="11"/>
        <v>425149</v>
      </c>
      <c r="T47" s="62"/>
    </row>
    <row r="48" spans="1:20" s="73" customFormat="1">
      <c r="A48" s="8"/>
      <c r="B48" s="8"/>
      <c r="C48" s="8"/>
      <c r="D48" s="45"/>
      <c r="E48" s="46"/>
      <c r="F48" s="47" t="s">
        <v>8</v>
      </c>
      <c r="G48" s="83">
        <f t="shared" ref="G48:M54" si="33">G58+G67+G76+G85</f>
        <v>55439</v>
      </c>
      <c r="H48" s="83">
        <f t="shared" si="33"/>
        <v>3392</v>
      </c>
      <c r="I48" s="83">
        <f t="shared" si="33"/>
        <v>3392</v>
      </c>
      <c r="J48" s="83">
        <f t="shared" si="33"/>
        <v>3392</v>
      </c>
      <c r="K48" s="35">
        <f>'1.02.'!M48</f>
        <v>0</v>
      </c>
      <c r="L48" s="83">
        <f t="shared" si="33"/>
        <v>3392</v>
      </c>
      <c r="M48" s="83">
        <f t="shared" si="33"/>
        <v>3392</v>
      </c>
      <c r="N48" s="35">
        <f t="shared" si="32"/>
        <v>0</v>
      </c>
      <c r="O48" s="70">
        <f t="shared" si="5"/>
        <v>100</v>
      </c>
      <c r="P48" s="71">
        <f t="shared" si="9"/>
        <v>0</v>
      </c>
      <c r="Q48" s="35">
        <f t="shared" si="10"/>
        <v>0</v>
      </c>
      <c r="R48" s="72">
        <v>1103619</v>
      </c>
      <c r="S48" s="72">
        <f t="shared" si="11"/>
        <v>52047</v>
      </c>
      <c r="T48" s="62"/>
    </row>
    <row r="49" spans="1:20" s="73" customFormat="1">
      <c r="A49" s="8"/>
      <c r="B49" s="8"/>
      <c r="C49" s="8"/>
      <c r="D49" s="45"/>
      <c r="E49" s="46"/>
      <c r="F49" s="49" t="s">
        <v>9</v>
      </c>
      <c r="G49" s="83">
        <f t="shared" si="33"/>
        <v>120211</v>
      </c>
      <c r="H49" s="83">
        <f t="shared" si="33"/>
        <v>10353</v>
      </c>
      <c r="I49" s="83">
        <f t="shared" si="33"/>
        <v>10353</v>
      </c>
      <c r="J49" s="83">
        <f t="shared" si="33"/>
        <v>10353</v>
      </c>
      <c r="K49" s="35">
        <f>'1.02.'!M49</f>
        <v>0</v>
      </c>
      <c r="L49" s="83">
        <f t="shared" si="33"/>
        <v>10353</v>
      </c>
      <c r="M49" s="83">
        <f t="shared" si="33"/>
        <v>10353</v>
      </c>
      <c r="N49" s="35">
        <f t="shared" si="32"/>
        <v>0</v>
      </c>
      <c r="O49" s="70">
        <f t="shared" si="5"/>
        <v>100</v>
      </c>
      <c r="P49" s="71">
        <f t="shared" si="9"/>
        <v>0</v>
      </c>
      <c r="Q49" s="35">
        <f t="shared" si="10"/>
        <v>0</v>
      </c>
      <c r="R49" s="72">
        <v>1103620</v>
      </c>
      <c r="S49" s="72">
        <f t="shared" si="11"/>
        <v>109858</v>
      </c>
      <c r="T49" s="62"/>
    </row>
    <row r="50" spans="1:20" s="73" customFormat="1">
      <c r="A50" s="8"/>
      <c r="B50" s="8"/>
      <c r="C50" s="8"/>
      <c r="D50" s="45"/>
      <c r="E50" s="46"/>
      <c r="F50" s="49" t="s">
        <v>10</v>
      </c>
      <c r="G50" s="83">
        <f t="shared" si="33"/>
        <v>44998</v>
      </c>
      <c r="H50" s="83">
        <f t="shared" si="33"/>
        <v>2079</v>
      </c>
      <c r="I50" s="83">
        <f t="shared" si="33"/>
        <v>2079</v>
      </c>
      <c r="J50" s="83">
        <f t="shared" si="33"/>
        <v>2079</v>
      </c>
      <c r="K50" s="35">
        <f>'1.02.'!M50</f>
        <v>0</v>
      </c>
      <c r="L50" s="83">
        <f t="shared" si="33"/>
        <v>2079</v>
      </c>
      <c r="M50" s="83">
        <f t="shared" si="33"/>
        <v>2079</v>
      </c>
      <c r="N50" s="35">
        <f t="shared" si="32"/>
        <v>0</v>
      </c>
      <c r="O50" s="70">
        <f t="shared" si="5"/>
        <v>100</v>
      </c>
      <c r="P50" s="71">
        <f t="shared" si="9"/>
        <v>0</v>
      </c>
      <c r="Q50" s="35">
        <f t="shared" si="10"/>
        <v>0</v>
      </c>
      <c r="R50" s="72">
        <v>1103621</v>
      </c>
      <c r="S50" s="72">
        <f t="shared" si="11"/>
        <v>42919</v>
      </c>
      <c r="T50" s="62"/>
    </row>
    <row r="51" spans="1:20" s="73" customFormat="1">
      <c r="A51" s="8"/>
      <c r="B51" s="8"/>
      <c r="C51" s="8"/>
      <c r="D51" s="45"/>
      <c r="E51" s="46"/>
      <c r="F51" s="49" t="s">
        <v>47</v>
      </c>
      <c r="G51" s="83">
        <f t="shared" si="33"/>
        <v>81363</v>
      </c>
      <c r="H51" s="83">
        <f t="shared" si="33"/>
        <v>7918</v>
      </c>
      <c r="I51" s="83">
        <f t="shared" si="33"/>
        <v>7918</v>
      </c>
      <c r="J51" s="83">
        <f t="shared" si="33"/>
        <v>7918</v>
      </c>
      <c r="K51" s="35">
        <f>'1.02.'!M51</f>
        <v>0</v>
      </c>
      <c r="L51" s="83">
        <f t="shared" si="33"/>
        <v>7918</v>
      </c>
      <c r="M51" s="83">
        <f t="shared" si="33"/>
        <v>7918</v>
      </c>
      <c r="N51" s="35">
        <f t="shared" si="32"/>
        <v>0</v>
      </c>
      <c r="O51" s="70">
        <f t="shared" si="5"/>
        <v>100</v>
      </c>
      <c r="P51" s="71">
        <f t="shared" si="9"/>
        <v>0</v>
      </c>
      <c r="Q51" s="35">
        <f t="shared" si="10"/>
        <v>0</v>
      </c>
      <c r="R51" s="72">
        <v>1103622</v>
      </c>
      <c r="S51" s="72">
        <f t="shared" si="11"/>
        <v>73445</v>
      </c>
      <c r="T51" s="62"/>
    </row>
    <row r="52" spans="1:20" s="73" customFormat="1">
      <c r="A52" s="8"/>
      <c r="B52" s="8"/>
      <c r="C52" s="8"/>
      <c r="D52" s="45"/>
      <c r="E52" s="46"/>
      <c r="F52" s="49" t="s">
        <v>48</v>
      </c>
      <c r="G52" s="83">
        <f t="shared" si="33"/>
        <v>132688</v>
      </c>
      <c r="H52" s="83">
        <f t="shared" si="33"/>
        <v>11590</v>
      </c>
      <c r="I52" s="83">
        <f t="shared" si="33"/>
        <v>11590</v>
      </c>
      <c r="J52" s="83">
        <f t="shared" si="33"/>
        <v>11590</v>
      </c>
      <c r="K52" s="35">
        <f>'1.02.'!M52</f>
        <v>0</v>
      </c>
      <c r="L52" s="83">
        <f t="shared" si="33"/>
        <v>11590</v>
      </c>
      <c r="M52" s="83">
        <f t="shared" si="33"/>
        <v>11590</v>
      </c>
      <c r="N52" s="35">
        <f t="shared" si="32"/>
        <v>0</v>
      </c>
      <c r="O52" s="70">
        <f t="shared" si="5"/>
        <v>100</v>
      </c>
      <c r="P52" s="71">
        <f t="shared" si="9"/>
        <v>0</v>
      </c>
      <c r="Q52" s="35">
        <f t="shared" si="10"/>
        <v>0</v>
      </c>
      <c r="R52" s="72">
        <v>1103623</v>
      </c>
      <c r="S52" s="72">
        <f t="shared" si="11"/>
        <v>121098</v>
      </c>
      <c r="T52" s="62"/>
    </row>
    <row r="53" spans="1:20" s="73" customFormat="1">
      <c r="A53" s="8"/>
      <c r="B53" s="8"/>
      <c r="C53" s="8"/>
      <c r="D53" s="45"/>
      <c r="E53" s="46"/>
      <c r="F53" s="49" t="s">
        <v>12</v>
      </c>
      <c r="G53" s="83">
        <f t="shared" si="33"/>
        <v>369923</v>
      </c>
      <c r="H53" s="83">
        <f t="shared" si="33"/>
        <v>317789</v>
      </c>
      <c r="I53" s="83">
        <f t="shared" si="33"/>
        <v>128253</v>
      </c>
      <c r="J53" s="83">
        <f t="shared" si="33"/>
        <v>128253</v>
      </c>
      <c r="K53" s="35">
        <f>'1.02.'!M53</f>
        <v>125000</v>
      </c>
      <c r="L53" s="83">
        <f t="shared" si="33"/>
        <v>3253</v>
      </c>
      <c r="M53" s="83">
        <f t="shared" si="33"/>
        <v>128253</v>
      </c>
      <c r="N53" s="35">
        <f t="shared" si="32"/>
        <v>0</v>
      </c>
      <c r="O53" s="70">
        <f t="shared" si="5"/>
        <v>100</v>
      </c>
      <c r="P53" s="71">
        <f t="shared" si="9"/>
        <v>0</v>
      </c>
      <c r="Q53" s="35">
        <f t="shared" si="10"/>
        <v>189536</v>
      </c>
      <c r="R53" s="72">
        <v>1103624</v>
      </c>
      <c r="S53" s="72">
        <f t="shared" si="11"/>
        <v>241670</v>
      </c>
      <c r="T53" s="62"/>
    </row>
    <row r="54" spans="1:20" s="73" customFormat="1">
      <c r="A54" s="8"/>
      <c r="B54" s="8"/>
      <c r="C54" s="8"/>
      <c r="D54" s="45"/>
      <c r="E54" s="46"/>
      <c r="F54" s="49" t="s">
        <v>11</v>
      </c>
      <c r="G54" s="83">
        <f t="shared" si="33"/>
        <v>68521</v>
      </c>
      <c r="H54" s="83">
        <f t="shared" si="33"/>
        <v>4117</v>
      </c>
      <c r="I54" s="83">
        <f t="shared" si="33"/>
        <v>4117</v>
      </c>
      <c r="J54" s="83">
        <f t="shared" si="33"/>
        <v>4117</v>
      </c>
      <c r="K54" s="35">
        <f>'1.02.'!M54</f>
        <v>0</v>
      </c>
      <c r="L54" s="83">
        <f t="shared" si="33"/>
        <v>4117</v>
      </c>
      <c r="M54" s="83">
        <f t="shared" si="33"/>
        <v>4117</v>
      </c>
      <c r="N54" s="35">
        <f t="shared" si="32"/>
        <v>0</v>
      </c>
      <c r="O54" s="70">
        <f t="shared" si="5"/>
        <v>100</v>
      </c>
      <c r="P54" s="71">
        <f t="shared" si="9"/>
        <v>0</v>
      </c>
      <c r="Q54" s="35">
        <f t="shared" si="10"/>
        <v>0</v>
      </c>
      <c r="R54" s="72">
        <v>1103625</v>
      </c>
      <c r="S54" s="72">
        <f t="shared" si="11"/>
        <v>64404</v>
      </c>
      <c r="T54" s="62"/>
    </row>
    <row r="55" spans="1:20" s="73" customFormat="1">
      <c r="A55" s="8"/>
      <c r="B55" s="8"/>
      <c r="C55" s="8"/>
      <c r="D55" s="45"/>
      <c r="E55" s="46"/>
      <c r="F55" s="50" t="s">
        <v>110</v>
      </c>
      <c r="G55" s="82"/>
      <c r="H55" s="82"/>
      <c r="I55" s="82"/>
      <c r="J55" s="75" t="e">
        <f t="shared" ref="J55:J73" si="34">M55</f>
        <v>#REF!</v>
      </c>
      <c r="K55" s="35" t="e">
        <f>'1.02.'!M55</f>
        <v>#REF!</v>
      </c>
      <c r="L55" s="35"/>
      <c r="M55" s="80" t="e">
        <f t="shared" ref="M55:M73" si="35">K55+L55</f>
        <v>#REF!</v>
      </c>
      <c r="N55" s="35" t="e">
        <f t="shared" si="32"/>
        <v>#REF!</v>
      </c>
      <c r="O55" s="70" t="e">
        <f t="shared" si="5"/>
        <v>#REF!</v>
      </c>
      <c r="P55" s="71" t="e">
        <f t="shared" si="9"/>
        <v>#REF!</v>
      </c>
      <c r="Q55" s="35" t="e">
        <f t="shared" si="10"/>
        <v>#REF!</v>
      </c>
      <c r="R55" s="72">
        <v>1103626</v>
      </c>
      <c r="S55" s="72" t="e">
        <f t="shared" si="11"/>
        <v>#REF!</v>
      </c>
      <c r="T55" s="62"/>
    </row>
    <row r="56" spans="1:20" s="73" customFormat="1">
      <c r="A56" s="8"/>
      <c r="B56" s="8"/>
      <c r="C56" s="8"/>
      <c r="D56" s="44"/>
      <c r="E56" s="52"/>
      <c r="F56" s="53" t="s">
        <v>111</v>
      </c>
      <c r="G56" s="84">
        <f>SUM(G57:G64)</f>
        <v>615150</v>
      </c>
      <c r="H56" s="84">
        <f t="shared" ref="H56:N56" si="36">SUM(H57:H64)</f>
        <v>40101</v>
      </c>
      <c r="I56" s="84">
        <f t="shared" si="36"/>
        <v>40101</v>
      </c>
      <c r="J56" s="108">
        <f t="shared" si="36"/>
        <v>40101</v>
      </c>
      <c r="K56" s="35">
        <f>'1.02.'!M56</f>
        <v>0</v>
      </c>
      <c r="L56" s="84">
        <f t="shared" si="36"/>
        <v>40101</v>
      </c>
      <c r="M56" s="84">
        <f t="shared" si="36"/>
        <v>40101</v>
      </c>
      <c r="N56" s="84">
        <f t="shared" si="36"/>
        <v>0</v>
      </c>
      <c r="O56" s="70">
        <f t="shared" si="5"/>
        <v>100</v>
      </c>
      <c r="P56" s="71">
        <f t="shared" si="9"/>
        <v>0</v>
      </c>
      <c r="Q56" s="35">
        <f t="shared" si="10"/>
        <v>0</v>
      </c>
      <c r="R56" s="72">
        <v>1103627</v>
      </c>
      <c r="S56" s="72">
        <f t="shared" si="11"/>
        <v>575049</v>
      </c>
      <c r="T56" s="62"/>
    </row>
    <row r="57" spans="1:20" s="73" customFormat="1">
      <c r="A57" s="8"/>
      <c r="B57" s="8"/>
      <c r="C57" s="8"/>
      <c r="D57" s="45"/>
      <c r="E57" s="45"/>
      <c r="F57" s="47" t="s">
        <v>46</v>
      </c>
      <c r="G57" s="83">
        <v>233757</v>
      </c>
      <c r="H57" s="83">
        <v>14105</v>
      </c>
      <c r="I57" s="83">
        <f>H57</f>
        <v>14105</v>
      </c>
      <c r="J57" s="75">
        <f>M57</f>
        <v>14105</v>
      </c>
      <c r="K57" s="35">
        <f>'1.02.'!M57</f>
        <v>0</v>
      </c>
      <c r="L57" s="35">
        <v>14105</v>
      </c>
      <c r="M57" s="80">
        <f t="shared" si="35"/>
        <v>14105</v>
      </c>
      <c r="N57" s="35">
        <f t="shared" si="32"/>
        <v>0</v>
      </c>
      <c r="O57" s="70">
        <f t="shared" si="5"/>
        <v>100</v>
      </c>
      <c r="P57" s="71">
        <f t="shared" si="9"/>
        <v>0</v>
      </c>
      <c r="Q57" s="35">
        <f t="shared" si="10"/>
        <v>0</v>
      </c>
      <c r="R57" s="72">
        <v>1103628</v>
      </c>
      <c r="S57" s="72">
        <f t="shared" si="11"/>
        <v>219652</v>
      </c>
      <c r="T57" s="62"/>
    </row>
    <row r="58" spans="1:20" s="73" customFormat="1">
      <c r="A58" s="8"/>
      <c r="B58" s="8"/>
      <c r="C58" s="8"/>
      <c r="D58" s="45"/>
      <c r="E58" s="45"/>
      <c r="F58" s="47" t="s">
        <v>8</v>
      </c>
      <c r="G58" s="83">
        <v>33218</v>
      </c>
      <c r="H58" s="83">
        <v>3154</v>
      </c>
      <c r="I58" s="83">
        <f t="shared" ref="I58:I64" si="37">H58</f>
        <v>3154</v>
      </c>
      <c r="J58" s="75">
        <f t="shared" si="34"/>
        <v>3154</v>
      </c>
      <c r="K58" s="35">
        <f>'1.02.'!M58</f>
        <v>0</v>
      </c>
      <c r="L58" s="35">
        <v>3154</v>
      </c>
      <c r="M58" s="80">
        <f t="shared" si="35"/>
        <v>3154</v>
      </c>
      <c r="N58" s="35">
        <f t="shared" si="32"/>
        <v>0</v>
      </c>
      <c r="O58" s="70">
        <f t="shared" si="5"/>
        <v>100</v>
      </c>
      <c r="P58" s="71">
        <f t="shared" si="9"/>
        <v>0</v>
      </c>
      <c r="Q58" s="35">
        <f t="shared" si="10"/>
        <v>0</v>
      </c>
      <c r="R58" s="72">
        <v>1103629</v>
      </c>
      <c r="S58" s="72">
        <f t="shared" si="11"/>
        <v>30064</v>
      </c>
      <c r="T58" s="62"/>
    </row>
    <row r="59" spans="1:20" s="73" customFormat="1">
      <c r="A59" s="8"/>
      <c r="B59" s="8"/>
      <c r="C59" s="8"/>
      <c r="D59" s="45"/>
      <c r="E59" s="45"/>
      <c r="F59" s="49" t="s">
        <v>9</v>
      </c>
      <c r="G59" s="83">
        <v>91657</v>
      </c>
      <c r="H59" s="83">
        <v>5815</v>
      </c>
      <c r="I59" s="83">
        <f t="shared" si="37"/>
        <v>5815</v>
      </c>
      <c r="J59" s="75">
        <f t="shared" si="34"/>
        <v>5815</v>
      </c>
      <c r="K59" s="35">
        <f>'1.02.'!M59</f>
        <v>0</v>
      </c>
      <c r="L59" s="35">
        <v>5815</v>
      </c>
      <c r="M59" s="80">
        <f t="shared" si="35"/>
        <v>5815</v>
      </c>
      <c r="N59" s="35">
        <f t="shared" si="32"/>
        <v>0</v>
      </c>
      <c r="O59" s="70">
        <f t="shared" si="5"/>
        <v>100</v>
      </c>
      <c r="P59" s="71">
        <f t="shared" si="9"/>
        <v>0</v>
      </c>
      <c r="Q59" s="35">
        <f t="shared" si="10"/>
        <v>0</v>
      </c>
      <c r="R59" s="72">
        <v>1103630</v>
      </c>
      <c r="S59" s="72">
        <f t="shared" si="11"/>
        <v>85842</v>
      </c>
      <c r="T59" s="62"/>
    </row>
    <row r="60" spans="1:20" s="73" customFormat="1">
      <c r="A60" s="8"/>
      <c r="B60" s="8"/>
      <c r="C60" s="8"/>
      <c r="D60" s="45"/>
      <c r="E60" s="45"/>
      <c r="F60" s="49" t="s">
        <v>10</v>
      </c>
      <c r="G60" s="83">
        <v>25221</v>
      </c>
      <c r="H60" s="83">
        <v>1864</v>
      </c>
      <c r="I60" s="83">
        <f t="shared" si="37"/>
        <v>1864</v>
      </c>
      <c r="J60" s="75">
        <f t="shared" si="34"/>
        <v>1864</v>
      </c>
      <c r="K60" s="35">
        <f>'1.02.'!M60</f>
        <v>0</v>
      </c>
      <c r="L60" s="35">
        <v>1864</v>
      </c>
      <c r="M60" s="80">
        <f t="shared" si="35"/>
        <v>1864</v>
      </c>
      <c r="N60" s="35">
        <f t="shared" si="32"/>
        <v>0</v>
      </c>
      <c r="O60" s="70">
        <f t="shared" si="5"/>
        <v>100</v>
      </c>
      <c r="P60" s="71">
        <f t="shared" si="9"/>
        <v>0</v>
      </c>
      <c r="Q60" s="35">
        <f t="shared" si="10"/>
        <v>0</v>
      </c>
      <c r="R60" s="72">
        <v>1103631</v>
      </c>
      <c r="S60" s="72">
        <f t="shared" si="11"/>
        <v>23357</v>
      </c>
      <c r="T60" s="62"/>
    </row>
    <row r="61" spans="1:20" s="73" customFormat="1">
      <c r="A61" s="8"/>
      <c r="B61" s="8"/>
      <c r="C61" s="8"/>
      <c r="D61" s="45"/>
      <c r="E61" s="45"/>
      <c r="F61" s="49" t="s">
        <v>47</v>
      </c>
      <c r="G61" s="83">
        <v>55364</v>
      </c>
      <c r="H61" s="83">
        <v>4910</v>
      </c>
      <c r="I61" s="83">
        <f t="shared" si="37"/>
        <v>4910</v>
      </c>
      <c r="J61" s="75">
        <f t="shared" si="34"/>
        <v>4910</v>
      </c>
      <c r="K61" s="35">
        <f>'1.02.'!M61</f>
        <v>0</v>
      </c>
      <c r="L61" s="35">
        <v>4910</v>
      </c>
      <c r="M61" s="80">
        <f t="shared" si="35"/>
        <v>4910</v>
      </c>
      <c r="N61" s="35">
        <f t="shared" si="32"/>
        <v>0</v>
      </c>
      <c r="O61" s="70">
        <f t="shared" si="5"/>
        <v>100</v>
      </c>
      <c r="P61" s="71">
        <f t="shared" si="9"/>
        <v>0</v>
      </c>
      <c r="Q61" s="35">
        <f t="shared" si="10"/>
        <v>0</v>
      </c>
      <c r="R61" s="72">
        <v>1103632</v>
      </c>
      <c r="S61" s="72">
        <f t="shared" si="11"/>
        <v>50454</v>
      </c>
      <c r="T61" s="62"/>
    </row>
    <row r="62" spans="1:20" s="73" customFormat="1">
      <c r="A62" s="8"/>
      <c r="B62" s="8"/>
      <c r="C62" s="8"/>
      <c r="D62" s="45"/>
      <c r="E62" s="45"/>
      <c r="F62" s="49" t="s">
        <v>48</v>
      </c>
      <c r="G62" s="83">
        <v>96579</v>
      </c>
      <c r="H62" s="83">
        <v>5824</v>
      </c>
      <c r="I62" s="83">
        <f t="shared" si="37"/>
        <v>5824</v>
      </c>
      <c r="J62" s="75">
        <f t="shared" si="34"/>
        <v>5824</v>
      </c>
      <c r="K62" s="35">
        <f>'1.02.'!M62</f>
        <v>0</v>
      </c>
      <c r="L62" s="35">
        <v>5824</v>
      </c>
      <c r="M62" s="80">
        <f t="shared" si="35"/>
        <v>5824</v>
      </c>
      <c r="N62" s="35">
        <f t="shared" si="32"/>
        <v>0</v>
      </c>
      <c r="O62" s="70">
        <f t="shared" si="5"/>
        <v>100</v>
      </c>
      <c r="P62" s="71">
        <f t="shared" si="9"/>
        <v>0</v>
      </c>
      <c r="Q62" s="35">
        <f t="shared" si="10"/>
        <v>0</v>
      </c>
      <c r="R62" s="72">
        <v>1103633</v>
      </c>
      <c r="S62" s="72">
        <f t="shared" si="11"/>
        <v>90755</v>
      </c>
      <c r="T62" s="62"/>
    </row>
    <row r="63" spans="1:20" s="73" customFormat="1">
      <c r="A63" s="8"/>
      <c r="B63" s="8"/>
      <c r="C63" s="8"/>
      <c r="D63" s="45"/>
      <c r="E63" s="45"/>
      <c r="F63" s="49" t="s">
        <v>12</v>
      </c>
      <c r="G63" s="83">
        <v>33833</v>
      </c>
      <c r="H63" s="83">
        <v>2019</v>
      </c>
      <c r="I63" s="83">
        <f t="shared" si="37"/>
        <v>2019</v>
      </c>
      <c r="J63" s="75">
        <f t="shared" si="34"/>
        <v>2019</v>
      </c>
      <c r="K63" s="35">
        <f>'1.02.'!M63</f>
        <v>0</v>
      </c>
      <c r="L63" s="35">
        <v>2019</v>
      </c>
      <c r="M63" s="80">
        <f t="shared" si="35"/>
        <v>2019</v>
      </c>
      <c r="N63" s="35">
        <f t="shared" si="32"/>
        <v>0</v>
      </c>
      <c r="O63" s="70">
        <f t="shared" si="5"/>
        <v>100</v>
      </c>
      <c r="P63" s="71">
        <f t="shared" si="9"/>
        <v>0</v>
      </c>
      <c r="Q63" s="35">
        <f t="shared" si="10"/>
        <v>0</v>
      </c>
      <c r="R63" s="72">
        <v>1103634</v>
      </c>
      <c r="S63" s="72">
        <f t="shared" si="11"/>
        <v>31814</v>
      </c>
      <c r="T63" s="62"/>
    </row>
    <row r="64" spans="1:20" s="73" customFormat="1">
      <c r="A64" s="8"/>
      <c r="B64" s="8"/>
      <c r="C64" s="8"/>
      <c r="D64" s="45"/>
      <c r="E64" s="45"/>
      <c r="F64" s="49" t="s">
        <v>11</v>
      </c>
      <c r="G64" s="83">
        <v>45521</v>
      </c>
      <c r="H64" s="83">
        <v>2410</v>
      </c>
      <c r="I64" s="83">
        <f t="shared" si="37"/>
        <v>2410</v>
      </c>
      <c r="J64" s="75">
        <f t="shared" si="34"/>
        <v>2410</v>
      </c>
      <c r="K64" s="35">
        <f>'1.02.'!M64</f>
        <v>0</v>
      </c>
      <c r="L64" s="35">
        <v>2410</v>
      </c>
      <c r="M64" s="80">
        <f t="shared" si="35"/>
        <v>2410</v>
      </c>
      <c r="N64" s="35">
        <f t="shared" si="32"/>
        <v>0</v>
      </c>
      <c r="O64" s="70">
        <f t="shared" si="5"/>
        <v>100</v>
      </c>
      <c r="P64" s="71">
        <f t="shared" si="9"/>
        <v>0</v>
      </c>
      <c r="Q64" s="35">
        <f t="shared" si="10"/>
        <v>0</v>
      </c>
      <c r="R64" s="72">
        <v>1103635</v>
      </c>
      <c r="S64" s="72">
        <f t="shared" si="11"/>
        <v>43111</v>
      </c>
      <c r="T64" s="62"/>
    </row>
    <row r="65" spans="1:20" s="73" customFormat="1" ht="25.5">
      <c r="A65" s="8"/>
      <c r="B65" s="8"/>
      <c r="C65" s="8"/>
      <c r="D65" s="44"/>
      <c r="E65" s="52"/>
      <c r="F65" s="53" t="s">
        <v>112</v>
      </c>
      <c r="G65" s="84">
        <f>SUM(G66:G73)</f>
        <v>111098</v>
      </c>
      <c r="H65" s="84">
        <f t="shared" ref="H65:N65" si="38">SUM(H66:H73)</f>
        <v>4237</v>
      </c>
      <c r="I65" s="84">
        <f t="shared" si="38"/>
        <v>4237</v>
      </c>
      <c r="J65" s="108">
        <f t="shared" si="38"/>
        <v>4237</v>
      </c>
      <c r="K65" s="35">
        <f>'1.02.'!M65</f>
        <v>0</v>
      </c>
      <c r="L65" s="84">
        <f t="shared" si="38"/>
        <v>4237</v>
      </c>
      <c r="M65" s="84">
        <f t="shared" si="38"/>
        <v>4237</v>
      </c>
      <c r="N65" s="84">
        <f t="shared" si="38"/>
        <v>0</v>
      </c>
      <c r="O65" s="70">
        <f t="shared" si="5"/>
        <v>100</v>
      </c>
      <c r="P65" s="71">
        <f t="shared" si="9"/>
        <v>0</v>
      </c>
      <c r="Q65" s="35">
        <f t="shared" si="10"/>
        <v>0</v>
      </c>
      <c r="R65" s="72">
        <v>1103636</v>
      </c>
      <c r="S65" s="72">
        <f t="shared" si="11"/>
        <v>106861</v>
      </c>
      <c r="T65" s="62"/>
    </row>
    <row r="66" spans="1:20" s="73" customFormat="1">
      <c r="A66" s="8"/>
      <c r="B66" s="8"/>
      <c r="C66" s="8"/>
      <c r="D66" s="45"/>
      <c r="E66" s="45"/>
      <c r="F66" s="47" t="s">
        <v>46</v>
      </c>
      <c r="G66" s="83">
        <v>38884</v>
      </c>
      <c r="H66" s="83">
        <v>1421</v>
      </c>
      <c r="I66" s="83">
        <f>H66</f>
        <v>1421</v>
      </c>
      <c r="J66" s="75">
        <f t="shared" si="34"/>
        <v>1421</v>
      </c>
      <c r="K66" s="35">
        <f>'1.02.'!M66</f>
        <v>0</v>
      </c>
      <c r="L66" s="35">
        <v>1421</v>
      </c>
      <c r="M66" s="80">
        <f t="shared" si="35"/>
        <v>1421</v>
      </c>
      <c r="N66" s="35">
        <f t="shared" ref="N66:N73" si="39">I66-M66</f>
        <v>0</v>
      </c>
      <c r="O66" s="70">
        <f t="shared" si="5"/>
        <v>100</v>
      </c>
      <c r="P66" s="71">
        <f t="shared" si="9"/>
        <v>0</v>
      </c>
      <c r="Q66" s="35">
        <f t="shared" si="10"/>
        <v>0</v>
      </c>
      <c r="R66" s="72">
        <v>1103637</v>
      </c>
      <c r="S66" s="72">
        <f t="shared" si="11"/>
        <v>37463</v>
      </c>
      <c r="T66" s="62"/>
    </row>
    <row r="67" spans="1:20" s="73" customFormat="1">
      <c r="A67" s="8"/>
      <c r="B67" s="8"/>
      <c r="C67" s="8"/>
      <c r="D67" s="45"/>
      <c r="E67" s="45"/>
      <c r="F67" s="47" t="s">
        <v>8</v>
      </c>
      <c r="G67" s="83">
        <v>7221</v>
      </c>
      <c r="H67" s="83">
        <v>238</v>
      </c>
      <c r="I67" s="83">
        <f t="shared" ref="I67:I73" si="40">H67</f>
        <v>238</v>
      </c>
      <c r="J67" s="75">
        <f t="shared" si="34"/>
        <v>238</v>
      </c>
      <c r="K67" s="35">
        <f>'1.02.'!M67</f>
        <v>0</v>
      </c>
      <c r="L67" s="35">
        <v>238</v>
      </c>
      <c r="M67" s="80">
        <f t="shared" si="35"/>
        <v>238</v>
      </c>
      <c r="N67" s="35">
        <f t="shared" si="39"/>
        <v>0</v>
      </c>
      <c r="O67" s="70">
        <f t="shared" si="5"/>
        <v>100</v>
      </c>
      <c r="P67" s="71">
        <f t="shared" si="9"/>
        <v>0</v>
      </c>
      <c r="Q67" s="35">
        <f t="shared" si="10"/>
        <v>0</v>
      </c>
      <c r="R67" s="72">
        <v>1103638</v>
      </c>
      <c r="S67" s="72">
        <f t="shared" si="11"/>
        <v>6983</v>
      </c>
      <c r="T67" s="62"/>
    </row>
    <row r="68" spans="1:20" s="73" customFormat="1">
      <c r="A68" s="8"/>
      <c r="B68" s="8"/>
      <c r="C68" s="8"/>
      <c r="D68" s="45"/>
      <c r="E68" s="45"/>
      <c r="F68" s="49" t="s">
        <v>9</v>
      </c>
      <c r="G68" s="83">
        <v>13554</v>
      </c>
      <c r="H68" s="83">
        <v>588</v>
      </c>
      <c r="I68" s="83">
        <f t="shared" si="40"/>
        <v>588</v>
      </c>
      <c r="J68" s="75">
        <f t="shared" si="34"/>
        <v>588</v>
      </c>
      <c r="K68" s="35">
        <f>'1.02.'!M68</f>
        <v>0</v>
      </c>
      <c r="L68" s="35">
        <v>588</v>
      </c>
      <c r="M68" s="80">
        <f t="shared" si="35"/>
        <v>588</v>
      </c>
      <c r="N68" s="35">
        <f t="shared" si="39"/>
        <v>0</v>
      </c>
      <c r="O68" s="70">
        <f t="shared" si="5"/>
        <v>100</v>
      </c>
      <c r="P68" s="71">
        <f t="shared" si="9"/>
        <v>0</v>
      </c>
      <c r="Q68" s="35">
        <f t="shared" si="10"/>
        <v>0</v>
      </c>
      <c r="R68" s="72">
        <v>1103639</v>
      </c>
      <c r="S68" s="72">
        <f t="shared" si="11"/>
        <v>12966</v>
      </c>
      <c r="T68" s="62"/>
    </row>
    <row r="69" spans="1:20" s="73" customFormat="1">
      <c r="A69" s="8"/>
      <c r="B69" s="8"/>
      <c r="C69" s="8"/>
      <c r="D69" s="45"/>
      <c r="E69" s="45"/>
      <c r="F69" s="49" t="s">
        <v>10</v>
      </c>
      <c r="G69" s="83">
        <v>4777</v>
      </c>
      <c r="H69" s="83">
        <v>215</v>
      </c>
      <c r="I69" s="83">
        <f t="shared" si="40"/>
        <v>215</v>
      </c>
      <c r="J69" s="75">
        <f t="shared" si="34"/>
        <v>215</v>
      </c>
      <c r="K69" s="35">
        <f>'1.02.'!M69</f>
        <v>0</v>
      </c>
      <c r="L69" s="35">
        <v>215</v>
      </c>
      <c r="M69" s="80">
        <f t="shared" si="35"/>
        <v>215</v>
      </c>
      <c r="N69" s="35">
        <f t="shared" si="39"/>
        <v>0</v>
      </c>
      <c r="O69" s="70">
        <f t="shared" si="5"/>
        <v>100</v>
      </c>
      <c r="P69" s="71">
        <f t="shared" si="9"/>
        <v>0</v>
      </c>
      <c r="Q69" s="35">
        <f t="shared" si="10"/>
        <v>0</v>
      </c>
      <c r="R69" s="72">
        <v>1103640</v>
      </c>
      <c r="S69" s="72">
        <f t="shared" si="11"/>
        <v>4562</v>
      </c>
      <c r="T69" s="62"/>
    </row>
    <row r="70" spans="1:20" s="73" customFormat="1">
      <c r="A70" s="8"/>
      <c r="B70" s="8"/>
      <c r="C70" s="8"/>
      <c r="D70" s="45"/>
      <c r="E70" s="45"/>
      <c r="F70" s="49" t="s">
        <v>47</v>
      </c>
      <c r="G70" s="83">
        <v>10999</v>
      </c>
      <c r="H70" s="83">
        <v>508</v>
      </c>
      <c r="I70" s="83">
        <f t="shared" si="40"/>
        <v>508</v>
      </c>
      <c r="J70" s="75">
        <f t="shared" si="34"/>
        <v>508</v>
      </c>
      <c r="K70" s="35">
        <f>'1.02.'!M70</f>
        <v>0</v>
      </c>
      <c r="L70" s="35">
        <v>508</v>
      </c>
      <c r="M70" s="80">
        <f t="shared" si="35"/>
        <v>508</v>
      </c>
      <c r="N70" s="35">
        <f t="shared" si="39"/>
        <v>0</v>
      </c>
      <c r="O70" s="70">
        <f t="shared" ref="O70:O73" si="41">M70/I70*100</f>
        <v>100</v>
      </c>
      <c r="P70" s="71">
        <f t="shared" si="9"/>
        <v>0</v>
      </c>
      <c r="Q70" s="35">
        <f t="shared" si="10"/>
        <v>0</v>
      </c>
      <c r="R70" s="72">
        <v>1103641</v>
      </c>
      <c r="S70" s="72">
        <f t="shared" si="11"/>
        <v>10491</v>
      </c>
      <c r="T70" s="62"/>
    </row>
    <row r="71" spans="1:20" s="73" customFormat="1">
      <c r="A71" s="8"/>
      <c r="B71" s="8"/>
      <c r="C71" s="8"/>
      <c r="D71" s="45"/>
      <c r="E71" s="45"/>
      <c r="F71" s="49" t="s">
        <v>48</v>
      </c>
      <c r="G71" s="83">
        <v>21109</v>
      </c>
      <c r="H71" s="83">
        <v>766</v>
      </c>
      <c r="I71" s="83">
        <f t="shared" si="40"/>
        <v>766</v>
      </c>
      <c r="J71" s="75">
        <f t="shared" si="34"/>
        <v>766</v>
      </c>
      <c r="K71" s="35">
        <f>'1.02.'!M71</f>
        <v>0</v>
      </c>
      <c r="L71" s="35">
        <v>766</v>
      </c>
      <c r="M71" s="80">
        <f t="shared" si="35"/>
        <v>766</v>
      </c>
      <c r="N71" s="35">
        <f t="shared" si="39"/>
        <v>0</v>
      </c>
      <c r="O71" s="70">
        <f t="shared" si="41"/>
        <v>100</v>
      </c>
      <c r="P71" s="71">
        <f t="shared" si="9"/>
        <v>0</v>
      </c>
      <c r="Q71" s="35">
        <f t="shared" si="10"/>
        <v>0</v>
      </c>
      <c r="R71" s="72">
        <v>1103642</v>
      </c>
      <c r="S71" s="72">
        <f t="shared" si="11"/>
        <v>20343</v>
      </c>
      <c r="T71" s="62"/>
    </row>
    <row r="72" spans="1:20" s="73" customFormat="1">
      <c r="A72" s="8"/>
      <c r="B72" s="8"/>
      <c r="C72" s="8"/>
      <c r="D72" s="45"/>
      <c r="E72" s="45"/>
      <c r="F72" s="49" t="s">
        <v>12</v>
      </c>
      <c r="G72" s="83">
        <v>6554</v>
      </c>
      <c r="H72" s="83">
        <v>234</v>
      </c>
      <c r="I72" s="83">
        <f t="shared" si="40"/>
        <v>234</v>
      </c>
      <c r="J72" s="75">
        <f t="shared" si="34"/>
        <v>234</v>
      </c>
      <c r="K72" s="35">
        <f>'1.02.'!M72</f>
        <v>0</v>
      </c>
      <c r="L72" s="35">
        <v>234</v>
      </c>
      <c r="M72" s="80">
        <f t="shared" si="35"/>
        <v>234</v>
      </c>
      <c r="N72" s="35">
        <f t="shared" si="39"/>
        <v>0</v>
      </c>
      <c r="O72" s="70">
        <f t="shared" si="41"/>
        <v>100</v>
      </c>
      <c r="P72" s="71">
        <f t="shared" si="9"/>
        <v>0</v>
      </c>
      <c r="Q72" s="35">
        <f t="shared" si="10"/>
        <v>0</v>
      </c>
      <c r="R72" s="72">
        <v>1103643</v>
      </c>
      <c r="S72" s="72">
        <f t="shared" si="11"/>
        <v>6320</v>
      </c>
      <c r="T72" s="62"/>
    </row>
    <row r="73" spans="1:20" s="73" customFormat="1">
      <c r="A73" s="8"/>
      <c r="B73" s="8"/>
      <c r="C73" s="8"/>
      <c r="D73" s="45"/>
      <c r="E73" s="45"/>
      <c r="F73" s="49" t="s">
        <v>11</v>
      </c>
      <c r="G73" s="83">
        <v>8000</v>
      </c>
      <c r="H73" s="83">
        <v>267</v>
      </c>
      <c r="I73" s="83">
        <f t="shared" si="40"/>
        <v>267</v>
      </c>
      <c r="J73" s="75">
        <f t="shared" si="34"/>
        <v>267</v>
      </c>
      <c r="K73" s="35">
        <f>'1.02.'!M73</f>
        <v>0</v>
      </c>
      <c r="L73" s="35">
        <v>267</v>
      </c>
      <c r="M73" s="80">
        <f t="shared" si="35"/>
        <v>267</v>
      </c>
      <c r="N73" s="35">
        <f t="shared" si="39"/>
        <v>0</v>
      </c>
      <c r="O73" s="70">
        <f t="shared" si="41"/>
        <v>100</v>
      </c>
      <c r="P73" s="71">
        <f t="shared" si="9"/>
        <v>0</v>
      </c>
      <c r="Q73" s="35">
        <f t="shared" si="10"/>
        <v>0</v>
      </c>
      <c r="R73" s="72">
        <v>1103644</v>
      </c>
      <c r="S73" s="72">
        <f t="shared" si="11"/>
        <v>7733</v>
      </c>
      <c r="T73" s="62"/>
    </row>
    <row r="74" spans="1:20" s="73" customFormat="1">
      <c r="A74" s="8"/>
      <c r="B74" s="8"/>
      <c r="C74" s="8"/>
      <c r="D74" s="45"/>
      <c r="E74" s="45"/>
      <c r="F74" s="51" t="s">
        <v>58</v>
      </c>
      <c r="G74" s="82">
        <f>SUM(G75:G82)</f>
        <v>314536</v>
      </c>
      <c r="H74" s="82">
        <f t="shared" ref="H74:O74" si="42">SUM(H75:H82)</f>
        <v>314536</v>
      </c>
      <c r="I74" s="82">
        <f t="shared" si="42"/>
        <v>125000</v>
      </c>
      <c r="J74" s="108">
        <f t="shared" si="42"/>
        <v>125000</v>
      </c>
      <c r="K74" s="35">
        <f>'1.02.'!M74</f>
        <v>125000</v>
      </c>
      <c r="L74" s="82">
        <f t="shared" si="42"/>
        <v>0</v>
      </c>
      <c r="M74" s="82">
        <f t="shared" si="42"/>
        <v>125000</v>
      </c>
      <c r="N74" s="82">
        <f t="shared" si="42"/>
        <v>0</v>
      </c>
      <c r="O74" s="82" t="e">
        <f t="shared" si="42"/>
        <v>#DIV/0!</v>
      </c>
      <c r="P74" s="71">
        <f t="shared" ref="P74:P137" si="43">J74-M74</f>
        <v>0</v>
      </c>
      <c r="Q74" s="35">
        <f t="shared" ref="Q74:Q137" si="44">H74-J74</f>
        <v>189536</v>
      </c>
      <c r="R74" s="72">
        <v>1103645</v>
      </c>
      <c r="S74" s="72">
        <f t="shared" ref="S74:S137" si="45">G74-M74</f>
        <v>189536</v>
      </c>
      <c r="T74" s="62"/>
    </row>
    <row r="75" spans="1:20" s="73" customFormat="1">
      <c r="A75" s="8"/>
      <c r="B75" s="8"/>
      <c r="C75" s="8"/>
      <c r="D75" s="45"/>
      <c r="E75" s="45"/>
      <c r="F75" s="47" t="s">
        <v>46</v>
      </c>
      <c r="G75" s="83"/>
      <c r="H75" s="83"/>
      <c r="I75" s="83"/>
      <c r="J75" s="75">
        <f t="shared" ref="J75:J82" si="46">M75</f>
        <v>0</v>
      </c>
      <c r="K75" s="35">
        <f>'1.02.'!M75</f>
        <v>0</v>
      </c>
      <c r="L75" s="35"/>
      <c r="M75" s="80">
        <f t="shared" ref="M75:M82" si="47">K75+L75</f>
        <v>0</v>
      </c>
      <c r="N75" s="35">
        <f t="shared" ref="N75:N82" si="48">I75-M75</f>
        <v>0</v>
      </c>
      <c r="O75" s="70" t="e">
        <f t="shared" ref="O75:O82" si="49">M75/I75*100</f>
        <v>#DIV/0!</v>
      </c>
      <c r="P75" s="71">
        <f t="shared" si="43"/>
        <v>0</v>
      </c>
      <c r="Q75" s="35">
        <f t="shared" si="44"/>
        <v>0</v>
      </c>
      <c r="R75" s="72">
        <v>1103646</v>
      </c>
      <c r="S75" s="72">
        <f t="shared" si="45"/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8</v>
      </c>
      <c r="G76" s="83"/>
      <c r="H76" s="83"/>
      <c r="I76" s="83"/>
      <c r="J76" s="75">
        <f t="shared" si="46"/>
        <v>0</v>
      </c>
      <c r="K76" s="35">
        <f>'1.02.'!M76</f>
        <v>0</v>
      </c>
      <c r="L76" s="35"/>
      <c r="M76" s="80">
        <f t="shared" si="47"/>
        <v>0</v>
      </c>
      <c r="N76" s="35">
        <f t="shared" si="48"/>
        <v>0</v>
      </c>
      <c r="O76" s="70" t="e">
        <f t="shared" si="49"/>
        <v>#DIV/0!</v>
      </c>
      <c r="P76" s="71">
        <f t="shared" si="43"/>
        <v>0</v>
      </c>
      <c r="Q76" s="35">
        <f t="shared" si="44"/>
        <v>0</v>
      </c>
      <c r="R76" s="72">
        <v>1103647</v>
      </c>
      <c r="S76" s="72">
        <f t="shared" si="45"/>
        <v>0</v>
      </c>
      <c r="T76" s="62"/>
    </row>
    <row r="77" spans="1:20" s="73" customFormat="1">
      <c r="A77" s="8"/>
      <c r="B77" s="8"/>
      <c r="C77" s="8"/>
      <c r="D77" s="45"/>
      <c r="E77" s="45"/>
      <c r="F77" s="49" t="s">
        <v>9</v>
      </c>
      <c r="G77" s="83"/>
      <c r="H77" s="83"/>
      <c r="I77" s="83"/>
      <c r="J77" s="75">
        <f t="shared" si="46"/>
        <v>0</v>
      </c>
      <c r="K77" s="35">
        <f>'1.02.'!M77</f>
        <v>0</v>
      </c>
      <c r="L77" s="35"/>
      <c r="M77" s="80">
        <f t="shared" si="47"/>
        <v>0</v>
      </c>
      <c r="N77" s="35">
        <f t="shared" si="48"/>
        <v>0</v>
      </c>
      <c r="O77" s="70" t="e">
        <f t="shared" si="49"/>
        <v>#DIV/0!</v>
      </c>
      <c r="P77" s="71">
        <f t="shared" si="43"/>
        <v>0</v>
      </c>
      <c r="Q77" s="35">
        <f t="shared" si="44"/>
        <v>0</v>
      </c>
      <c r="R77" s="72">
        <v>1103648</v>
      </c>
      <c r="S77" s="72">
        <f t="shared" si="45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10</v>
      </c>
      <c r="G78" s="83"/>
      <c r="H78" s="83"/>
      <c r="I78" s="83"/>
      <c r="J78" s="75">
        <f t="shared" si="46"/>
        <v>0</v>
      </c>
      <c r="K78" s="35">
        <f>'1.02.'!M78</f>
        <v>0</v>
      </c>
      <c r="L78" s="35"/>
      <c r="M78" s="80">
        <f t="shared" si="47"/>
        <v>0</v>
      </c>
      <c r="N78" s="35">
        <f t="shared" si="48"/>
        <v>0</v>
      </c>
      <c r="O78" s="70" t="e">
        <f t="shared" si="49"/>
        <v>#DIV/0!</v>
      </c>
      <c r="P78" s="71">
        <f t="shared" si="43"/>
        <v>0</v>
      </c>
      <c r="Q78" s="35">
        <f t="shared" si="44"/>
        <v>0</v>
      </c>
      <c r="R78" s="72">
        <v>1103649</v>
      </c>
      <c r="S78" s="72">
        <f t="shared" si="45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47</v>
      </c>
      <c r="G79" s="83"/>
      <c r="H79" s="83"/>
      <c r="I79" s="83"/>
      <c r="J79" s="75">
        <f t="shared" si="46"/>
        <v>0</v>
      </c>
      <c r="K79" s="35">
        <f>'1.02.'!M79</f>
        <v>0</v>
      </c>
      <c r="L79" s="35"/>
      <c r="M79" s="80">
        <f t="shared" si="47"/>
        <v>0</v>
      </c>
      <c r="N79" s="35">
        <f t="shared" si="48"/>
        <v>0</v>
      </c>
      <c r="O79" s="70" t="e">
        <f t="shared" si="49"/>
        <v>#DIV/0!</v>
      </c>
      <c r="P79" s="71">
        <f t="shared" si="43"/>
        <v>0</v>
      </c>
      <c r="Q79" s="35">
        <f t="shared" si="44"/>
        <v>0</v>
      </c>
      <c r="R79" s="72">
        <v>1103650</v>
      </c>
      <c r="S79" s="72">
        <f t="shared" si="45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48</v>
      </c>
      <c r="G80" s="83"/>
      <c r="H80" s="83"/>
      <c r="I80" s="83"/>
      <c r="J80" s="75">
        <f t="shared" si="46"/>
        <v>0</v>
      </c>
      <c r="K80" s="35">
        <f>'1.02.'!M80</f>
        <v>0</v>
      </c>
      <c r="L80" s="35"/>
      <c r="M80" s="80">
        <f t="shared" si="47"/>
        <v>0</v>
      </c>
      <c r="N80" s="35">
        <f t="shared" si="48"/>
        <v>0</v>
      </c>
      <c r="O80" s="70" t="e">
        <f t="shared" si="49"/>
        <v>#DIV/0!</v>
      </c>
      <c r="P80" s="71">
        <f t="shared" si="43"/>
        <v>0</v>
      </c>
      <c r="Q80" s="35">
        <f t="shared" si="44"/>
        <v>0</v>
      </c>
      <c r="R80" s="72">
        <v>1103651</v>
      </c>
      <c r="S80" s="72">
        <f t="shared" si="45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12</v>
      </c>
      <c r="G81" s="83">
        <v>314536</v>
      </c>
      <c r="H81" s="83">
        <v>314536</v>
      </c>
      <c r="I81" s="83">
        <v>125000</v>
      </c>
      <c r="J81" s="75">
        <f t="shared" si="46"/>
        <v>125000</v>
      </c>
      <c r="K81" s="35">
        <f>'1.02.'!M81</f>
        <v>125000</v>
      </c>
      <c r="L81" s="35"/>
      <c r="M81" s="80">
        <f t="shared" si="47"/>
        <v>125000</v>
      </c>
      <c r="N81" s="35">
        <f t="shared" si="48"/>
        <v>0</v>
      </c>
      <c r="O81" s="70">
        <f t="shared" si="49"/>
        <v>100</v>
      </c>
      <c r="P81" s="71">
        <f t="shared" si="43"/>
        <v>0</v>
      </c>
      <c r="Q81" s="35">
        <f t="shared" si="44"/>
        <v>189536</v>
      </c>
      <c r="R81" s="72">
        <v>1103652</v>
      </c>
      <c r="S81" s="72">
        <f t="shared" si="45"/>
        <v>189536</v>
      </c>
      <c r="T81" s="62"/>
    </row>
    <row r="82" spans="1:20" s="73" customFormat="1">
      <c r="A82" s="8"/>
      <c r="B82" s="8"/>
      <c r="C82" s="8"/>
      <c r="D82" s="45"/>
      <c r="E82" s="45"/>
      <c r="F82" s="49" t="s">
        <v>11</v>
      </c>
      <c r="G82" s="83"/>
      <c r="H82" s="83"/>
      <c r="I82" s="83"/>
      <c r="J82" s="75">
        <f t="shared" si="46"/>
        <v>0</v>
      </c>
      <c r="K82" s="35">
        <f>'1.02.'!M82</f>
        <v>0</v>
      </c>
      <c r="L82" s="35"/>
      <c r="M82" s="80">
        <f t="shared" si="47"/>
        <v>0</v>
      </c>
      <c r="N82" s="35">
        <f t="shared" si="48"/>
        <v>0</v>
      </c>
      <c r="O82" s="70" t="e">
        <f t="shared" si="49"/>
        <v>#DIV/0!</v>
      </c>
      <c r="P82" s="71">
        <f t="shared" si="43"/>
        <v>0</v>
      </c>
      <c r="Q82" s="35">
        <f t="shared" si="44"/>
        <v>0</v>
      </c>
      <c r="R82" s="72">
        <v>1103653</v>
      </c>
      <c r="S82" s="72">
        <f t="shared" si="45"/>
        <v>0</v>
      </c>
      <c r="T82" s="62"/>
    </row>
    <row r="83" spans="1:20" s="73" customFormat="1" ht="38.25">
      <c r="A83" s="8"/>
      <c r="B83" s="8"/>
      <c r="C83" s="8"/>
      <c r="D83" s="45"/>
      <c r="E83" s="45"/>
      <c r="F83" s="51" t="s">
        <v>59</v>
      </c>
      <c r="G83" s="82">
        <f>SUM(G84:G91)</f>
        <v>293942</v>
      </c>
      <c r="H83" s="82">
        <f t="shared" ref="H83:O83" si="50">SUM(H84:H91)</f>
        <v>34798</v>
      </c>
      <c r="I83" s="82">
        <f t="shared" si="50"/>
        <v>34798</v>
      </c>
      <c r="J83" s="108">
        <f t="shared" si="50"/>
        <v>34798</v>
      </c>
      <c r="K83" s="35">
        <f>'1.02.'!M83</f>
        <v>0</v>
      </c>
      <c r="L83" s="82">
        <f t="shared" si="50"/>
        <v>34798</v>
      </c>
      <c r="M83" s="82">
        <f t="shared" si="50"/>
        <v>34798</v>
      </c>
      <c r="N83" s="82">
        <f t="shared" si="50"/>
        <v>0</v>
      </c>
      <c r="O83" s="82" t="e">
        <f t="shared" si="50"/>
        <v>#DIV/0!</v>
      </c>
      <c r="P83" s="71">
        <f t="shared" si="43"/>
        <v>0</v>
      </c>
      <c r="Q83" s="35">
        <f t="shared" si="44"/>
        <v>0</v>
      </c>
      <c r="R83" s="72">
        <v>1103654</v>
      </c>
      <c r="S83" s="72">
        <f t="shared" si="45"/>
        <v>259144</v>
      </c>
      <c r="T83" s="62"/>
    </row>
    <row r="84" spans="1:20" s="73" customFormat="1">
      <c r="A84" s="8"/>
      <c r="B84" s="8"/>
      <c r="C84" s="8"/>
      <c r="D84" s="45"/>
      <c r="E84" s="45"/>
      <c r="F84" s="47" t="s">
        <v>46</v>
      </c>
      <c r="G84" s="83">
        <v>188942</v>
      </c>
      <c r="H84" s="83">
        <v>20908</v>
      </c>
      <c r="I84" s="83">
        <f>H84</f>
        <v>20908</v>
      </c>
      <c r="J84" s="75">
        <f t="shared" ref="J84:J91" si="51">M84</f>
        <v>20908</v>
      </c>
      <c r="K84" s="35">
        <f>'1.02.'!M84</f>
        <v>0</v>
      </c>
      <c r="L84" s="35">
        <v>20908</v>
      </c>
      <c r="M84" s="80">
        <f t="shared" ref="M84:M91" si="52">K84+L84</f>
        <v>20908</v>
      </c>
      <c r="N84" s="35">
        <f t="shared" ref="N84:N91" si="53">I84-M84</f>
        <v>0</v>
      </c>
      <c r="O84" s="70">
        <f t="shared" ref="O84:O147" si="54">M84/I84*100</f>
        <v>100</v>
      </c>
      <c r="P84" s="71">
        <f t="shared" si="43"/>
        <v>0</v>
      </c>
      <c r="Q84" s="35">
        <f t="shared" si="44"/>
        <v>0</v>
      </c>
      <c r="R84" s="72">
        <v>1103655</v>
      </c>
      <c r="S84" s="72">
        <f t="shared" si="45"/>
        <v>168034</v>
      </c>
      <c r="T84" s="62"/>
    </row>
    <row r="85" spans="1:20" s="73" customFormat="1">
      <c r="A85" s="8"/>
      <c r="B85" s="8"/>
      <c r="C85" s="8"/>
      <c r="D85" s="45"/>
      <c r="E85" s="45"/>
      <c r="F85" s="47" t="s">
        <v>8</v>
      </c>
      <c r="G85" s="83">
        <v>15000</v>
      </c>
      <c r="H85" s="83"/>
      <c r="I85" s="83">
        <f t="shared" ref="I85:I91" si="55">H85</f>
        <v>0</v>
      </c>
      <c r="J85" s="75">
        <f t="shared" si="51"/>
        <v>0</v>
      </c>
      <c r="K85" s="35">
        <f>'1.02.'!M85</f>
        <v>0</v>
      </c>
      <c r="L85" s="35"/>
      <c r="M85" s="80">
        <f t="shared" si="52"/>
        <v>0</v>
      </c>
      <c r="N85" s="35">
        <f t="shared" si="53"/>
        <v>0</v>
      </c>
      <c r="O85" s="70" t="e">
        <f t="shared" si="54"/>
        <v>#DIV/0!</v>
      </c>
      <c r="P85" s="71">
        <f t="shared" si="43"/>
        <v>0</v>
      </c>
      <c r="Q85" s="35">
        <f t="shared" si="44"/>
        <v>0</v>
      </c>
      <c r="R85" s="72">
        <v>1103656</v>
      </c>
      <c r="S85" s="72">
        <f t="shared" si="45"/>
        <v>15000</v>
      </c>
      <c r="T85" s="62"/>
    </row>
    <row r="86" spans="1:20" s="73" customFormat="1">
      <c r="A86" s="8"/>
      <c r="B86" s="8"/>
      <c r="C86" s="8"/>
      <c r="D86" s="45"/>
      <c r="E86" s="45"/>
      <c r="F86" s="49" t="s">
        <v>9</v>
      </c>
      <c r="G86" s="83">
        <v>15000</v>
      </c>
      <c r="H86" s="83">
        <v>3950</v>
      </c>
      <c r="I86" s="83">
        <f t="shared" si="55"/>
        <v>3950</v>
      </c>
      <c r="J86" s="75">
        <f t="shared" si="51"/>
        <v>3950</v>
      </c>
      <c r="K86" s="35">
        <f>'1.02.'!M86</f>
        <v>0</v>
      </c>
      <c r="L86" s="35">
        <v>3950</v>
      </c>
      <c r="M86" s="80">
        <f t="shared" si="52"/>
        <v>3950</v>
      </c>
      <c r="N86" s="35">
        <f t="shared" si="53"/>
        <v>0</v>
      </c>
      <c r="O86" s="70">
        <f t="shared" si="54"/>
        <v>100</v>
      </c>
      <c r="P86" s="71">
        <f t="shared" si="43"/>
        <v>0</v>
      </c>
      <c r="Q86" s="35">
        <f t="shared" si="44"/>
        <v>0</v>
      </c>
      <c r="R86" s="72">
        <v>1103657</v>
      </c>
      <c r="S86" s="72">
        <f t="shared" si="45"/>
        <v>11050</v>
      </c>
      <c r="T86" s="62"/>
    </row>
    <row r="87" spans="1:20" s="73" customFormat="1">
      <c r="A87" s="8"/>
      <c r="B87" s="8"/>
      <c r="C87" s="8"/>
      <c r="D87" s="45"/>
      <c r="E87" s="45"/>
      <c r="F87" s="49" t="s">
        <v>10</v>
      </c>
      <c r="G87" s="83">
        <v>15000</v>
      </c>
      <c r="H87" s="83"/>
      <c r="I87" s="83">
        <f t="shared" si="55"/>
        <v>0</v>
      </c>
      <c r="J87" s="75">
        <f t="shared" si="51"/>
        <v>0</v>
      </c>
      <c r="K87" s="35">
        <f>'1.02.'!M87</f>
        <v>0</v>
      </c>
      <c r="L87" s="35"/>
      <c r="M87" s="80">
        <f t="shared" si="52"/>
        <v>0</v>
      </c>
      <c r="N87" s="35">
        <f t="shared" si="53"/>
        <v>0</v>
      </c>
      <c r="O87" s="70" t="e">
        <f t="shared" si="54"/>
        <v>#DIV/0!</v>
      </c>
      <c r="P87" s="71">
        <f t="shared" si="43"/>
        <v>0</v>
      </c>
      <c r="Q87" s="35">
        <f t="shared" si="44"/>
        <v>0</v>
      </c>
      <c r="R87" s="72">
        <v>1103658</v>
      </c>
      <c r="S87" s="72">
        <f t="shared" si="45"/>
        <v>15000</v>
      </c>
      <c r="T87" s="62"/>
    </row>
    <row r="88" spans="1:20" s="73" customFormat="1">
      <c r="A88" s="8"/>
      <c r="B88" s="8"/>
      <c r="C88" s="8"/>
      <c r="D88" s="45"/>
      <c r="E88" s="45"/>
      <c r="F88" s="49" t="s">
        <v>47</v>
      </c>
      <c r="G88" s="83">
        <v>15000</v>
      </c>
      <c r="H88" s="83">
        <v>2500</v>
      </c>
      <c r="I88" s="83">
        <f t="shared" si="55"/>
        <v>2500</v>
      </c>
      <c r="J88" s="75">
        <f t="shared" si="51"/>
        <v>2500</v>
      </c>
      <c r="K88" s="35">
        <f>'1.02.'!M88</f>
        <v>0</v>
      </c>
      <c r="L88" s="35">
        <v>2500</v>
      </c>
      <c r="M88" s="80">
        <f t="shared" si="52"/>
        <v>2500</v>
      </c>
      <c r="N88" s="35">
        <f t="shared" si="53"/>
        <v>0</v>
      </c>
      <c r="O88" s="70">
        <f t="shared" si="54"/>
        <v>100</v>
      </c>
      <c r="P88" s="71">
        <f t="shared" si="43"/>
        <v>0</v>
      </c>
      <c r="Q88" s="35">
        <f t="shared" si="44"/>
        <v>0</v>
      </c>
      <c r="R88" s="72">
        <v>1103659</v>
      </c>
      <c r="S88" s="72">
        <f t="shared" si="45"/>
        <v>12500</v>
      </c>
      <c r="T88" s="62"/>
    </row>
    <row r="89" spans="1:20" s="73" customFormat="1">
      <c r="A89" s="8"/>
      <c r="B89" s="8"/>
      <c r="C89" s="8"/>
      <c r="D89" s="45"/>
      <c r="E89" s="45"/>
      <c r="F89" s="49" t="s">
        <v>48</v>
      </c>
      <c r="G89" s="83">
        <v>15000</v>
      </c>
      <c r="H89" s="83">
        <v>5000</v>
      </c>
      <c r="I89" s="83">
        <f t="shared" si="55"/>
        <v>5000</v>
      </c>
      <c r="J89" s="75">
        <f t="shared" si="51"/>
        <v>5000</v>
      </c>
      <c r="K89" s="35">
        <f>'1.02.'!M89</f>
        <v>0</v>
      </c>
      <c r="L89" s="35">
        <v>5000</v>
      </c>
      <c r="M89" s="80">
        <f t="shared" si="52"/>
        <v>5000</v>
      </c>
      <c r="N89" s="35">
        <f t="shared" si="53"/>
        <v>0</v>
      </c>
      <c r="O89" s="70">
        <f t="shared" si="54"/>
        <v>100</v>
      </c>
      <c r="P89" s="71">
        <f t="shared" si="43"/>
        <v>0</v>
      </c>
      <c r="Q89" s="35">
        <f t="shared" si="44"/>
        <v>0</v>
      </c>
      <c r="R89" s="72">
        <v>1103660</v>
      </c>
      <c r="S89" s="72">
        <f t="shared" si="45"/>
        <v>10000</v>
      </c>
      <c r="T89" s="62"/>
    </row>
    <row r="90" spans="1:20" s="73" customFormat="1">
      <c r="A90" s="8"/>
      <c r="B90" s="8"/>
      <c r="C90" s="8"/>
      <c r="D90" s="45"/>
      <c r="E90" s="45"/>
      <c r="F90" s="49" t="s">
        <v>12</v>
      </c>
      <c r="G90" s="83">
        <v>15000</v>
      </c>
      <c r="H90" s="83">
        <v>1000</v>
      </c>
      <c r="I90" s="83">
        <f t="shared" si="55"/>
        <v>1000</v>
      </c>
      <c r="J90" s="75">
        <f t="shared" si="51"/>
        <v>1000</v>
      </c>
      <c r="K90" s="35">
        <f>'1.02.'!M90</f>
        <v>0</v>
      </c>
      <c r="L90" s="35">
        <v>1000</v>
      </c>
      <c r="M90" s="80">
        <f t="shared" si="52"/>
        <v>1000</v>
      </c>
      <c r="N90" s="35">
        <f t="shared" si="53"/>
        <v>0</v>
      </c>
      <c r="O90" s="70">
        <f t="shared" si="54"/>
        <v>100</v>
      </c>
      <c r="P90" s="71">
        <f t="shared" si="43"/>
        <v>0</v>
      </c>
      <c r="Q90" s="35">
        <f t="shared" si="44"/>
        <v>0</v>
      </c>
      <c r="R90" s="72">
        <v>1103661</v>
      </c>
      <c r="S90" s="72">
        <f t="shared" si="45"/>
        <v>14000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11</v>
      </c>
      <c r="G91" s="83">
        <v>15000</v>
      </c>
      <c r="H91" s="83">
        <v>1440</v>
      </c>
      <c r="I91" s="83">
        <f t="shared" si="55"/>
        <v>1440</v>
      </c>
      <c r="J91" s="75">
        <f t="shared" si="51"/>
        <v>1440</v>
      </c>
      <c r="K91" s="35">
        <f>'1.02.'!M91</f>
        <v>0</v>
      </c>
      <c r="L91" s="35">
        <v>1440</v>
      </c>
      <c r="M91" s="80">
        <f t="shared" si="52"/>
        <v>1440</v>
      </c>
      <c r="N91" s="35">
        <f t="shared" si="53"/>
        <v>0</v>
      </c>
      <c r="O91" s="70">
        <f t="shared" si="54"/>
        <v>100</v>
      </c>
      <c r="P91" s="71">
        <f t="shared" si="43"/>
        <v>0</v>
      </c>
      <c r="Q91" s="35">
        <f t="shared" si="44"/>
        <v>0</v>
      </c>
      <c r="R91" s="72">
        <v>1103662</v>
      </c>
      <c r="S91" s="72">
        <f t="shared" si="45"/>
        <v>13560</v>
      </c>
      <c r="T91" s="62"/>
    </row>
    <row r="92" spans="1:20" s="73" customFormat="1" ht="25.5">
      <c r="A92" s="9"/>
      <c r="B92" s="9"/>
      <c r="C92" s="8" t="s">
        <v>13</v>
      </c>
      <c r="D92" s="69"/>
      <c r="E92" s="69"/>
      <c r="F92" s="120" t="s">
        <v>113</v>
      </c>
      <c r="G92" s="23">
        <f>G93</f>
        <v>200616</v>
      </c>
      <c r="H92" s="23">
        <f t="shared" ref="H92:M92" si="56">H93</f>
        <v>0</v>
      </c>
      <c r="I92" s="23">
        <f t="shared" si="56"/>
        <v>0</v>
      </c>
      <c r="J92" s="109">
        <f t="shared" si="56"/>
        <v>0</v>
      </c>
      <c r="K92" s="35">
        <f>'1.02.'!M92</f>
        <v>0</v>
      </c>
      <c r="L92" s="85">
        <f t="shared" si="56"/>
        <v>0</v>
      </c>
      <c r="M92" s="104">
        <f t="shared" si="56"/>
        <v>0</v>
      </c>
      <c r="N92" s="85">
        <f>N93</f>
        <v>0</v>
      </c>
      <c r="O92" s="68" t="e">
        <f t="shared" si="54"/>
        <v>#DIV/0!</v>
      </c>
      <c r="P92" s="71">
        <f t="shared" si="43"/>
        <v>0</v>
      </c>
      <c r="Q92" s="35">
        <f t="shared" si="44"/>
        <v>0</v>
      </c>
      <c r="R92" s="72">
        <v>1103663</v>
      </c>
      <c r="S92" s="72">
        <f t="shared" si="45"/>
        <v>200616</v>
      </c>
      <c r="T92" s="62">
        <f t="shared" ref="T92:T138" si="57">G92-J92</f>
        <v>200616</v>
      </c>
    </row>
    <row r="93" spans="1:20">
      <c r="A93" s="9"/>
      <c r="B93" s="9"/>
      <c r="C93" s="9"/>
      <c r="D93" s="21" t="s">
        <v>7</v>
      </c>
      <c r="E93" s="69"/>
      <c r="F93" s="122" t="s">
        <v>85</v>
      </c>
      <c r="G93" s="56">
        <f>G94+G95</f>
        <v>200616</v>
      </c>
      <c r="H93" s="56">
        <f t="shared" ref="H93:N93" si="58">H94+H95</f>
        <v>0</v>
      </c>
      <c r="I93" s="56">
        <f t="shared" si="58"/>
        <v>0</v>
      </c>
      <c r="J93" s="56">
        <f t="shared" si="58"/>
        <v>0</v>
      </c>
      <c r="K93" s="35">
        <f>'1.02.'!M93</f>
        <v>0</v>
      </c>
      <c r="L93" s="56">
        <f t="shared" si="58"/>
        <v>0</v>
      </c>
      <c r="M93" s="56">
        <f t="shared" si="58"/>
        <v>0</v>
      </c>
      <c r="N93" s="56">
        <f t="shared" si="58"/>
        <v>0</v>
      </c>
      <c r="O93" s="70" t="e">
        <f t="shared" si="54"/>
        <v>#DIV/0!</v>
      </c>
      <c r="P93" s="71">
        <f t="shared" si="43"/>
        <v>0</v>
      </c>
      <c r="Q93" s="35">
        <f t="shared" si="44"/>
        <v>0</v>
      </c>
      <c r="R93" s="72">
        <v>1103664</v>
      </c>
      <c r="S93" s="72">
        <f t="shared" si="45"/>
        <v>200616</v>
      </c>
      <c r="T93" s="62">
        <f t="shared" si="57"/>
        <v>200616</v>
      </c>
    </row>
    <row r="94" spans="1:20">
      <c r="A94" s="9"/>
      <c r="B94" s="9"/>
      <c r="C94" s="9"/>
      <c r="D94" s="69"/>
      <c r="E94" s="69">
        <v>159</v>
      </c>
      <c r="F94" s="122" t="s">
        <v>84</v>
      </c>
      <c r="G94" s="26">
        <v>200616</v>
      </c>
      <c r="H94" s="37">
        <v>0</v>
      </c>
      <c r="I94" s="37">
        <v>0</v>
      </c>
      <c r="J94" s="110">
        <f>M94</f>
        <v>0</v>
      </c>
      <c r="K94" s="35">
        <f>'1.02.'!M94</f>
        <v>0</v>
      </c>
      <c r="L94" s="80"/>
      <c r="M94" s="80">
        <f>K94+L94</f>
        <v>0</v>
      </c>
      <c r="N94" s="80">
        <f>I94-M94</f>
        <v>0</v>
      </c>
      <c r="O94" s="70" t="e">
        <f t="shared" si="54"/>
        <v>#DIV/0!</v>
      </c>
      <c r="P94" s="71">
        <f t="shared" si="43"/>
        <v>0</v>
      </c>
      <c r="Q94" s="35">
        <f t="shared" si="44"/>
        <v>0</v>
      </c>
      <c r="R94" s="72">
        <v>1103665</v>
      </c>
      <c r="S94" s="72">
        <f t="shared" si="45"/>
        <v>200616</v>
      </c>
      <c r="T94" s="62">
        <f t="shared" si="57"/>
        <v>200616</v>
      </c>
    </row>
    <row r="95" spans="1:20">
      <c r="A95" s="9"/>
      <c r="B95" s="9"/>
      <c r="C95" s="9"/>
      <c r="D95" s="69"/>
      <c r="E95" s="69">
        <v>322</v>
      </c>
      <c r="F95" s="78" t="s">
        <v>154</v>
      </c>
      <c r="G95" s="26"/>
      <c r="H95" s="37"/>
      <c r="I95" s="37"/>
      <c r="J95" s="110">
        <f>M95</f>
        <v>0</v>
      </c>
      <c r="K95" s="35">
        <f>'1.02.'!M95</f>
        <v>0</v>
      </c>
      <c r="L95" s="110"/>
      <c r="M95" s="80">
        <f>K95+L95</f>
        <v>0</v>
      </c>
      <c r="N95" s="80">
        <f>I95-M95</f>
        <v>0</v>
      </c>
      <c r="O95" s="70" t="e">
        <f t="shared" si="54"/>
        <v>#DIV/0!</v>
      </c>
      <c r="P95" s="71">
        <f t="shared" si="43"/>
        <v>0</v>
      </c>
      <c r="Q95" s="35">
        <f t="shared" si="44"/>
        <v>0</v>
      </c>
      <c r="R95" s="72">
        <v>1103666</v>
      </c>
      <c r="S95" s="72">
        <f t="shared" si="45"/>
        <v>0</v>
      </c>
    </row>
    <row r="96" spans="1:20" ht="51">
      <c r="A96" s="9"/>
      <c r="B96" s="9"/>
      <c r="C96" s="17" t="s">
        <v>41</v>
      </c>
      <c r="D96" s="69"/>
      <c r="E96" s="69"/>
      <c r="F96" s="79" t="s">
        <v>128</v>
      </c>
      <c r="G96" s="74">
        <f>G97</f>
        <v>20000</v>
      </c>
      <c r="H96" s="74">
        <f t="shared" ref="H96:O97" si="59">H97</f>
        <v>13390</v>
      </c>
      <c r="I96" s="74">
        <f t="shared" si="59"/>
        <v>1238.7</v>
      </c>
      <c r="J96" s="96">
        <f t="shared" si="59"/>
        <v>13390</v>
      </c>
      <c r="K96" s="35">
        <f>'1.02.'!M96</f>
        <v>0</v>
      </c>
      <c r="L96" s="89">
        <f t="shared" si="59"/>
        <v>1163.3798300000001</v>
      </c>
      <c r="M96" s="89">
        <f t="shared" si="59"/>
        <v>1163.3798300000001</v>
      </c>
      <c r="N96" s="91">
        <f t="shared" si="59"/>
        <v>75.320169999999962</v>
      </c>
      <c r="O96" s="74">
        <f t="shared" si="59"/>
        <v>93.919417938160976</v>
      </c>
      <c r="P96" s="71">
        <f t="shared" si="43"/>
        <v>12226.62017</v>
      </c>
      <c r="Q96" s="35">
        <f t="shared" si="44"/>
        <v>0</v>
      </c>
      <c r="R96" s="72">
        <v>1103667</v>
      </c>
      <c r="S96" s="72">
        <f t="shared" si="45"/>
        <v>18836.620169999998</v>
      </c>
      <c r="T96" s="62">
        <f>G96-J96</f>
        <v>6610</v>
      </c>
    </row>
    <row r="97" spans="1:20" s="73" customFormat="1">
      <c r="A97" s="8"/>
      <c r="B97" s="8"/>
      <c r="C97" s="8"/>
      <c r="D97" s="17" t="s">
        <v>35</v>
      </c>
      <c r="E97" s="21"/>
      <c r="F97" s="79"/>
      <c r="G97" s="88">
        <f>G98</f>
        <v>20000</v>
      </c>
      <c r="H97" s="74">
        <f t="shared" si="59"/>
        <v>13390</v>
      </c>
      <c r="I97" s="74">
        <f t="shared" si="59"/>
        <v>1238.7</v>
      </c>
      <c r="J97" s="96">
        <f t="shared" si="59"/>
        <v>13390</v>
      </c>
      <c r="K97" s="35">
        <f>'1.02.'!M97</f>
        <v>0</v>
      </c>
      <c r="L97" s="89">
        <f t="shared" si="59"/>
        <v>1163.3798300000001</v>
      </c>
      <c r="M97" s="89">
        <f t="shared" si="59"/>
        <v>1163.3798300000001</v>
      </c>
      <c r="N97" s="89">
        <f t="shared" si="59"/>
        <v>75.320169999999962</v>
      </c>
      <c r="O97" s="68">
        <f>M97/I97*100</f>
        <v>93.919417938160976</v>
      </c>
      <c r="P97" s="71">
        <f t="shared" si="43"/>
        <v>12226.62017</v>
      </c>
      <c r="Q97" s="35">
        <f t="shared" si="44"/>
        <v>0</v>
      </c>
      <c r="R97" s="72">
        <v>1103668</v>
      </c>
      <c r="S97" s="72">
        <f t="shared" si="45"/>
        <v>18836.620169999998</v>
      </c>
      <c r="T97" s="62">
        <f>G97-J97</f>
        <v>6610</v>
      </c>
    </row>
    <row r="98" spans="1:20">
      <c r="A98" s="9"/>
      <c r="B98" s="9"/>
      <c r="C98" s="9"/>
      <c r="D98" s="69"/>
      <c r="E98" s="69">
        <v>159</v>
      </c>
      <c r="F98" s="78" t="s">
        <v>155</v>
      </c>
      <c r="G98" s="41">
        <v>20000</v>
      </c>
      <c r="H98" s="72">
        <v>13390</v>
      </c>
      <c r="I98" s="72">
        <v>1238.7</v>
      </c>
      <c r="J98" s="94">
        <v>13390</v>
      </c>
      <c r="K98" s="35">
        <f>'1.02.'!M98</f>
        <v>0</v>
      </c>
      <c r="L98" s="90">
        <v>1163.3798300000001</v>
      </c>
      <c r="M98" s="90">
        <f>K98+L98</f>
        <v>1163.3798300000001</v>
      </c>
      <c r="N98" s="90">
        <f>I98-M98</f>
        <v>75.320169999999962</v>
      </c>
      <c r="O98" s="70">
        <f>M98/I98*100</f>
        <v>93.919417938160976</v>
      </c>
      <c r="P98" s="71">
        <f t="shared" si="43"/>
        <v>12226.62017</v>
      </c>
      <c r="Q98" s="35">
        <f t="shared" si="44"/>
        <v>0</v>
      </c>
      <c r="R98" s="72">
        <v>1103669</v>
      </c>
      <c r="S98" s="72">
        <f t="shared" si="45"/>
        <v>18836.620169999998</v>
      </c>
      <c r="T98" s="62">
        <f>G98-J98</f>
        <v>6610</v>
      </c>
    </row>
    <row r="99" spans="1:20" s="73" customFormat="1">
      <c r="A99" s="8"/>
      <c r="B99" s="8" t="s">
        <v>24</v>
      </c>
      <c r="C99" s="8"/>
      <c r="D99" s="21"/>
      <c r="E99" s="21"/>
      <c r="F99" s="139" t="s">
        <v>114</v>
      </c>
      <c r="G99" s="59">
        <f t="shared" ref="G99:N100" si="60">G100</f>
        <v>588262</v>
      </c>
      <c r="H99" s="59">
        <f t="shared" si="60"/>
        <v>127301.1</v>
      </c>
      <c r="I99" s="59">
        <f t="shared" si="60"/>
        <v>95392.1</v>
      </c>
      <c r="J99" s="29">
        <f t="shared" si="60"/>
        <v>125978.70813000001</v>
      </c>
      <c r="K99" s="29">
        <f>'1.02.'!M99</f>
        <v>46251.970999999998</v>
      </c>
      <c r="L99" s="29">
        <f t="shared" si="60"/>
        <v>49057.797999999995</v>
      </c>
      <c r="M99" s="29">
        <f t="shared" si="60"/>
        <v>95309.769</v>
      </c>
      <c r="N99" s="29">
        <f t="shared" si="60"/>
        <v>82.331000000002405</v>
      </c>
      <c r="O99" s="68">
        <f t="shared" si="54"/>
        <v>99.91369201432822</v>
      </c>
      <c r="P99" s="71">
        <f t="shared" si="43"/>
        <v>30668.939130000013</v>
      </c>
      <c r="Q99" s="35">
        <f t="shared" si="44"/>
        <v>1322.3918699999922</v>
      </c>
      <c r="R99" s="72">
        <v>1103670</v>
      </c>
      <c r="S99" s="72">
        <f t="shared" si="45"/>
        <v>492952.23100000003</v>
      </c>
      <c r="T99" s="62">
        <f t="shared" si="57"/>
        <v>462283.29186999996</v>
      </c>
    </row>
    <row r="100" spans="1:20" ht="76.5">
      <c r="A100" s="8"/>
      <c r="B100" s="8"/>
      <c r="C100" s="17" t="s">
        <v>7</v>
      </c>
      <c r="D100" s="17"/>
      <c r="E100" s="21"/>
      <c r="F100" s="139" t="s">
        <v>115</v>
      </c>
      <c r="G100" s="59">
        <f>G101</f>
        <v>588262</v>
      </c>
      <c r="H100" s="59">
        <f t="shared" si="60"/>
        <v>127301.1</v>
      </c>
      <c r="I100" s="59">
        <f t="shared" si="60"/>
        <v>95392.1</v>
      </c>
      <c r="J100" s="59">
        <f t="shared" si="60"/>
        <v>125978.70813000001</v>
      </c>
      <c r="K100" s="29">
        <f>'1.02.'!M100</f>
        <v>46251.970999999998</v>
      </c>
      <c r="L100" s="59">
        <f t="shared" si="60"/>
        <v>49057.797999999995</v>
      </c>
      <c r="M100" s="59">
        <f t="shared" si="60"/>
        <v>95309.769</v>
      </c>
      <c r="N100" s="59">
        <f t="shared" si="60"/>
        <v>82.331000000002405</v>
      </c>
      <c r="O100" s="68">
        <f t="shared" si="54"/>
        <v>99.91369201432822</v>
      </c>
      <c r="P100" s="60">
        <f t="shared" si="43"/>
        <v>30668.939130000013</v>
      </c>
      <c r="Q100" s="29">
        <f t="shared" si="44"/>
        <v>1322.3918699999922</v>
      </c>
      <c r="R100" s="74">
        <v>1103671</v>
      </c>
      <c r="S100" s="74">
        <f t="shared" si="45"/>
        <v>492952.23100000003</v>
      </c>
      <c r="T100" s="62">
        <f t="shared" si="57"/>
        <v>462283.29186999996</v>
      </c>
    </row>
    <row r="101" spans="1:20">
      <c r="A101" s="8"/>
      <c r="B101" s="8"/>
      <c r="C101" s="17"/>
      <c r="D101" s="17" t="s">
        <v>7</v>
      </c>
      <c r="E101" s="10"/>
      <c r="F101" s="140" t="s">
        <v>85</v>
      </c>
      <c r="G101" s="33">
        <f>SUM(G102:G118)</f>
        <v>588262</v>
      </c>
      <c r="H101" s="33">
        <f t="shared" ref="H101:N101" si="61">SUM(H102:H118)</f>
        <v>127301.1</v>
      </c>
      <c r="I101" s="33">
        <f t="shared" si="61"/>
        <v>95392.1</v>
      </c>
      <c r="J101" s="29">
        <f t="shared" si="61"/>
        <v>125978.70813000001</v>
      </c>
      <c r="K101" s="35">
        <f>'1.02.'!M101</f>
        <v>46251.970999999998</v>
      </c>
      <c r="L101" s="29">
        <f>SUM(L102:L118)</f>
        <v>49057.797999999995</v>
      </c>
      <c r="M101" s="29">
        <f t="shared" si="61"/>
        <v>95309.769</v>
      </c>
      <c r="N101" s="29">
        <f t="shared" si="61"/>
        <v>82.331000000002405</v>
      </c>
      <c r="O101" s="68">
        <f t="shared" si="54"/>
        <v>99.91369201432822</v>
      </c>
      <c r="P101" s="71">
        <f t="shared" si="43"/>
        <v>30668.939130000013</v>
      </c>
      <c r="Q101" s="35">
        <f t="shared" si="44"/>
        <v>1322.3918699999922</v>
      </c>
      <c r="R101" s="72">
        <v>1103672</v>
      </c>
      <c r="S101" s="72">
        <f t="shared" si="45"/>
        <v>492952.23100000003</v>
      </c>
      <c r="T101" s="62">
        <f t="shared" si="57"/>
        <v>462283.29186999996</v>
      </c>
    </row>
    <row r="102" spans="1:20">
      <c r="A102" s="8"/>
      <c r="B102" s="8"/>
      <c r="C102" s="8"/>
      <c r="D102" s="21"/>
      <c r="E102" s="69">
        <v>111</v>
      </c>
      <c r="F102" s="136" t="s">
        <v>86</v>
      </c>
      <c r="G102" s="26">
        <v>408393</v>
      </c>
      <c r="H102" s="37">
        <v>60000</v>
      </c>
      <c r="I102" s="37">
        <v>60000</v>
      </c>
      <c r="J102" s="75">
        <f>M102</f>
        <v>59997.06</v>
      </c>
      <c r="K102" s="35">
        <f>'1.02.'!M102</f>
        <v>28001.228999999999</v>
      </c>
      <c r="L102" s="35">
        <v>31995.830999999998</v>
      </c>
      <c r="M102" s="92">
        <f t="shared" ref="M102:M181" si="62">K102+L102</f>
        <v>59997.06</v>
      </c>
      <c r="N102" s="93">
        <f t="shared" ref="N102:N181" si="63">I102-M102</f>
        <v>2.9400000000023283</v>
      </c>
      <c r="O102" s="70">
        <f t="shared" si="54"/>
        <v>99.995099999999994</v>
      </c>
      <c r="P102" s="71">
        <f t="shared" si="43"/>
        <v>0</v>
      </c>
      <c r="Q102" s="35">
        <f t="shared" si="44"/>
        <v>2.9400000000023283</v>
      </c>
      <c r="R102" s="72">
        <v>1103673</v>
      </c>
      <c r="S102" s="72">
        <f t="shared" si="45"/>
        <v>348395.94</v>
      </c>
      <c r="T102" s="62">
        <f t="shared" si="57"/>
        <v>348395.94</v>
      </c>
    </row>
    <row r="103" spans="1:20">
      <c r="A103" s="8"/>
      <c r="B103" s="8"/>
      <c r="C103" s="8"/>
      <c r="D103" s="21"/>
      <c r="E103" s="69">
        <v>112</v>
      </c>
      <c r="F103" s="136" t="s">
        <v>87</v>
      </c>
      <c r="G103" s="26"/>
      <c r="H103" s="37"/>
      <c r="I103" s="37"/>
      <c r="J103" s="75">
        <f t="shared" ref="J103:J109" si="64">M103</f>
        <v>0</v>
      </c>
      <c r="K103" s="35">
        <f>'1.02.'!M103</f>
        <v>0</v>
      </c>
      <c r="L103" s="35"/>
      <c r="M103" s="92">
        <f t="shared" si="62"/>
        <v>0</v>
      </c>
      <c r="N103" s="93">
        <f t="shared" si="63"/>
        <v>0</v>
      </c>
      <c r="O103" s="70" t="e">
        <f t="shared" si="54"/>
        <v>#DIV/0!</v>
      </c>
      <c r="P103" s="71">
        <f t="shared" si="43"/>
        <v>0</v>
      </c>
      <c r="Q103" s="35">
        <f t="shared" si="44"/>
        <v>0</v>
      </c>
      <c r="R103" s="72">
        <v>1103674</v>
      </c>
      <c r="S103" s="72">
        <f t="shared" si="45"/>
        <v>0</v>
      </c>
    </row>
    <row r="104" spans="1:20">
      <c r="A104" s="8"/>
      <c r="B104" s="8"/>
      <c r="C104" s="8"/>
      <c r="D104" s="21"/>
      <c r="E104" s="76">
        <v>113</v>
      </c>
      <c r="F104" s="136" t="s">
        <v>88</v>
      </c>
      <c r="G104" s="26">
        <v>14739</v>
      </c>
      <c r="H104" s="37">
        <v>1519</v>
      </c>
      <c r="I104" s="37">
        <v>1519</v>
      </c>
      <c r="J104" s="75">
        <f t="shared" si="64"/>
        <v>1519</v>
      </c>
      <c r="K104" s="35">
        <f>'1.02.'!M104</f>
        <v>1519</v>
      </c>
      <c r="L104" s="35"/>
      <c r="M104" s="92">
        <f t="shared" si="62"/>
        <v>1519</v>
      </c>
      <c r="N104" s="93">
        <f t="shared" si="63"/>
        <v>0</v>
      </c>
      <c r="O104" s="70">
        <f t="shared" si="54"/>
        <v>100</v>
      </c>
      <c r="P104" s="71">
        <f t="shared" si="43"/>
        <v>0</v>
      </c>
      <c r="Q104" s="35">
        <f t="shared" si="44"/>
        <v>0</v>
      </c>
      <c r="R104" s="72">
        <v>1103675</v>
      </c>
      <c r="S104" s="72">
        <f t="shared" si="45"/>
        <v>13220</v>
      </c>
      <c r="T104" s="62">
        <f t="shared" si="57"/>
        <v>13220</v>
      </c>
    </row>
    <row r="105" spans="1:20">
      <c r="A105" s="8"/>
      <c r="B105" s="8"/>
      <c r="C105" s="8"/>
      <c r="D105" s="21"/>
      <c r="E105" s="69">
        <v>116</v>
      </c>
      <c r="F105" s="136" t="s">
        <v>89</v>
      </c>
      <c r="G105" s="26">
        <v>9468</v>
      </c>
      <c r="H105" s="37">
        <v>350</v>
      </c>
      <c r="I105" s="37">
        <v>350</v>
      </c>
      <c r="J105" s="75">
        <f t="shared" si="64"/>
        <v>350</v>
      </c>
      <c r="K105" s="35">
        <f>'1.02.'!M105</f>
        <v>0</v>
      </c>
      <c r="L105" s="35">
        <v>350</v>
      </c>
      <c r="M105" s="92">
        <f>K105+L105</f>
        <v>350</v>
      </c>
      <c r="N105" s="93">
        <f>I105-M105</f>
        <v>0</v>
      </c>
      <c r="O105" s="70">
        <f>M105/I105*100</f>
        <v>100</v>
      </c>
      <c r="P105" s="71">
        <f t="shared" si="43"/>
        <v>0</v>
      </c>
      <c r="Q105" s="35">
        <f t="shared" si="44"/>
        <v>0</v>
      </c>
      <c r="R105" s="72">
        <v>1103676</v>
      </c>
      <c r="S105" s="72">
        <f t="shared" si="45"/>
        <v>9118</v>
      </c>
    </row>
    <row r="106" spans="1:20">
      <c r="A106" s="8"/>
      <c r="B106" s="8"/>
      <c r="C106" s="8"/>
      <c r="D106" s="21"/>
      <c r="E106" s="69">
        <v>121</v>
      </c>
      <c r="F106" s="136" t="s">
        <v>90</v>
      </c>
      <c r="G106" s="26">
        <v>19586</v>
      </c>
      <c r="H106" s="37">
        <v>2800</v>
      </c>
      <c r="I106" s="37">
        <v>2800</v>
      </c>
      <c r="J106" s="75">
        <f t="shared" si="64"/>
        <v>2800</v>
      </c>
      <c r="K106" s="35">
        <f>'1.02.'!M106</f>
        <v>1400</v>
      </c>
      <c r="L106" s="35">
        <v>1400</v>
      </c>
      <c r="M106" s="92">
        <f t="shared" si="62"/>
        <v>2800</v>
      </c>
      <c r="N106" s="93">
        <f t="shared" si="63"/>
        <v>0</v>
      </c>
      <c r="O106" s="70">
        <f t="shared" si="54"/>
        <v>100</v>
      </c>
      <c r="P106" s="71">
        <f t="shared" si="43"/>
        <v>0</v>
      </c>
      <c r="Q106" s="35">
        <f t="shared" si="44"/>
        <v>0</v>
      </c>
      <c r="R106" s="72">
        <v>1103677</v>
      </c>
      <c r="S106" s="72">
        <f t="shared" si="45"/>
        <v>16786</v>
      </c>
      <c r="T106" s="62">
        <f t="shared" si="57"/>
        <v>16786</v>
      </c>
    </row>
    <row r="107" spans="1:20" ht="25.5">
      <c r="A107" s="8"/>
      <c r="B107" s="8"/>
      <c r="C107" s="8"/>
      <c r="D107" s="21"/>
      <c r="E107" s="69">
        <v>122</v>
      </c>
      <c r="F107" s="136" t="s">
        <v>91</v>
      </c>
      <c r="G107" s="26">
        <v>17015</v>
      </c>
      <c r="H107" s="37">
        <v>2440</v>
      </c>
      <c r="I107" s="37">
        <v>2440</v>
      </c>
      <c r="J107" s="75">
        <f t="shared" si="64"/>
        <v>2415.0389999999998</v>
      </c>
      <c r="K107" s="35">
        <f>'1.02.'!M107</f>
        <v>1191.3900000000001</v>
      </c>
      <c r="L107" s="35">
        <v>1223.6489999999999</v>
      </c>
      <c r="M107" s="92">
        <f>K107+L107</f>
        <v>2415.0389999999998</v>
      </c>
      <c r="N107" s="93">
        <f t="shared" si="63"/>
        <v>24.96100000000024</v>
      </c>
      <c r="O107" s="70">
        <f t="shared" si="54"/>
        <v>98.9770081967213</v>
      </c>
      <c r="P107" s="71">
        <f t="shared" si="43"/>
        <v>0</v>
      </c>
      <c r="Q107" s="35">
        <f t="shared" si="44"/>
        <v>24.96100000000024</v>
      </c>
      <c r="R107" s="72">
        <v>1103678</v>
      </c>
      <c r="S107" s="72">
        <f t="shared" si="45"/>
        <v>14599.960999999999</v>
      </c>
      <c r="T107" s="62">
        <f t="shared" si="57"/>
        <v>14599.960999999999</v>
      </c>
    </row>
    <row r="108" spans="1:20">
      <c r="A108" s="8"/>
      <c r="B108" s="8"/>
      <c r="C108" s="8"/>
      <c r="D108" s="21"/>
      <c r="E108" s="69">
        <v>123</v>
      </c>
      <c r="F108" s="136" t="s">
        <v>92</v>
      </c>
      <c r="G108" s="26">
        <v>195</v>
      </c>
      <c r="H108" s="37"/>
      <c r="I108" s="37"/>
      <c r="J108" s="75">
        <f t="shared" si="64"/>
        <v>0</v>
      </c>
      <c r="K108" s="35">
        <f>'1.02.'!M108</f>
        <v>0</v>
      </c>
      <c r="L108" s="35"/>
      <c r="M108" s="92">
        <f t="shared" si="62"/>
        <v>0</v>
      </c>
      <c r="N108" s="93">
        <f t="shared" si="63"/>
        <v>0</v>
      </c>
      <c r="O108" s="70" t="e">
        <f t="shared" si="54"/>
        <v>#DIV/0!</v>
      </c>
      <c r="P108" s="71">
        <f t="shared" si="43"/>
        <v>0</v>
      </c>
      <c r="Q108" s="35">
        <f t="shared" si="44"/>
        <v>0</v>
      </c>
      <c r="R108" s="72">
        <v>1103679</v>
      </c>
      <c r="S108" s="72">
        <f t="shared" si="45"/>
        <v>195</v>
      </c>
      <c r="T108" s="62">
        <f t="shared" si="57"/>
        <v>195</v>
      </c>
    </row>
    <row r="109" spans="1:20">
      <c r="A109" s="9"/>
      <c r="B109" s="8"/>
      <c r="C109" s="8"/>
      <c r="D109" s="21"/>
      <c r="E109" s="69">
        <v>124</v>
      </c>
      <c r="F109" s="136" t="s">
        <v>93</v>
      </c>
      <c r="G109" s="26">
        <v>11343</v>
      </c>
      <c r="H109" s="37">
        <v>1600</v>
      </c>
      <c r="I109" s="37">
        <v>1600</v>
      </c>
      <c r="J109" s="75">
        <f t="shared" si="64"/>
        <v>1595.5900000000001</v>
      </c>
      <c r="K109" s="35">
        <f>'1.02.'!M109</f>
        <v>740.35199999999998</v>
      </c>
      <c r="L109" s="35">
        <v>855.23800000000006</v>
      </c>
      <c r="M109" s="92">
        <f t="shared" si="62"/>
        <v>1595.5900000000001</v>
      </c>
      <c r="N109" s="93">
        <f t="shared" si="63"/>
        <v>4.4099999999998545</v>
      </c>
      <c r="O109" s="70">
        <f t="shared" si="54"/>
        <v>99.724375000000009</v>
      </c>
      <c r="P109" s="71">
        <f t="shared" si="43"/>
        <v>0</v>
      </c>
      <c r="Q109" s="35">
        <f t="shared" si="44"/>
        <v>4.4099999999998545</v>
      </c>
      <c r="R109" s="72">
        <v>1103680</v>
      </c>
      <c r="S109" s="72">
        <f t="shared" si="45"/>
        <v>9747.41</v>
      </c>
      <c r="T109" s="62">
        <f t="shared" si="57"/>
        <v>9747.41</v>
      </c>
    </row>
    <row r="110" spans="1:20" s="73" customFormat="1">
      <c r="A110" s="9"/>
      <c r="B110" s="8"/>
      <c r="C110" s="8"/>
      <c r="D110" s="21"/>
      <c r="E110" s="69">
        <v>141</v>
      </c>
      <c r="F110" s="136" t="s">
        <v>116</v>
      </c>
      <c r="G110" s="26">
        <v>44952</v>
      </c>
      <c r="H110" s="37">
        <v>25848</v>
      </c>
      <c r="I110" s="37"/>
      <c r="J110" s="75">
        <v>25847.700150000001</v>
      </c>
      <c r="K110" s="35">
        <f>'1.02.'!M110</f>
        <v>0</v>
      </c>
      <c r="L110" s="35"/>
      <c r="M110" s="92">
        <f t="shared" si="62"/>
        <v>0</v>
      </c>
      <c r="N110" s="93">
        <f t="shared" si="63"/>
        <v>0</v>
      </c>
      <c r="O110" s="70" t="e">
        <f t="shared" si="54"/>
        <v>#DIV/0!</v>
      </c>
      <c r="P110" s="71">
        <f t="shared" si="43"/>
        <v>25847.700150000001</v>
      </c>
      <c r="Q110" s="35">
        <f t="shared" si="44"/>
        <v>0.29984999999942374</v>
      </c>
      <c r="R110" s="72">
        <v>1103681</v>
      </c>
      <c r="S110" s="72">
        <f t="shared" si="45"/>
        <v>44952</v>
      </c>
      <c r="T110" s="62">
        <f t="shared" si="57"/>
        <v>19104.299849999999</v>
      </c>
    </row>
    <row r="111" spans="1:20">
      <c r="A111" s="9"/>
      <c r="B111" s="8"/>
      <c r="C111" s="8"/>
      <c r="D111" s="21"/>
      <c r="E111" s="69">
        <v>144</v>
      </c>
      <c r="F111" s="136" t="s">
        <v>97</v>
      </c>
      <c r="G111" s="26">
        <v>836</v>
      </c>
      <c r="H111" s="37"/>
      <c r="I111" s="37"/>
      <c r="J111" s="75">
        <f t="shared" ref="J111:J118" si="65">M111</f>
        <v>0</v>
      </c>
      <c r="K111" s="35">
        <f>'1.02.'!M111</f>
        <v>0</v>
      </c>
      <c r="L111" s="35"/>
      <c r="M111" s="92">
        <f t="shared" si="62"/>
        <v>0</v>
      </c>
      <c r="N111" s="93">
        <f t="shared" si="63"/>
        <v>0</v>
      </c>
      <c r="O111" s="70" t="e">
        <f t="shared" si="54"/>
        <v>#DIV/0!</v>
      </c>
      <c r="P111" s="71">
        <f t="shared" si="43"/>
        <v>0</v>
      </c>
      <c r="Q111" s="35">
        <f t="shared" si="44"/>
        <v>0</v>
      </c>
      <c r="R111" s="72">
        <v>1103682</v>
      </c>
      <c r="S111" s="72">
        <f t="shared" si="45"/>
        <v>836</v>
      </c>
      <c r="T111" s="62">
        <f t="shared" si="57"/>
        <v>836</v>
      </c>
    </row>
    <row r="112" spans="1:20">
      <c r="A112" s="9"/>
      <c r="B112" s="8"/>
      <c r="C112" s="8"/>
      <c r="D112" s="21"/>
      <c r="E112" s="69">
        <v>149</v>
      </c>
      <c r="F112" s="136" t="s">
        <v>98</v>
      </c>
      <c r="G112" s="26">
        <v>5652</v>
      </c>
      <c r="H112" s="37">
        <v>951.1</v>
      </c>
      <c r="I112" s="37">
        <v>951.1</v>
      </c>
      <c r="J112" s="75">
        <v>951.08</v>
      </c>
      <c r="K112" s="35">
        <f>'1.02.'!M112</f>
        <v>0</v>
      </c>
      <c r="L112" s="35">
        <v>951.08</v>
      </c>
      <c r="M112" s="92">
        <f t="shared" si="62"/>
        <v>951.08</v>
      </c>
      <c r="N112" s="93">
        <f t="shared" si="63"/>
        <v>1.999999999998181E-2</v>
      </c>
      <c r="O112" s="70">
        <f t="shared" si="54"/>
        <v>99.997897171695939</v>
      </c>
      <c r="P112" s="71">
        <f t="shared" si="43"/>
        <v>0</v>
      </c>
      <c r="Q112" s="35">
        <f t="shared" si="44"/>
        <v>1.999999999998181E-2</v>
      </c>
      <c r="R112" s="72">
        <v>1103683</v>
      </c>
      <c r="S112" s="72">
        <f t="shared" si="45"/>
        <v>4700.92</v>
      </c>
      <c r="T112" s="62">
        <f t="shared" si="57"/>
        <v>4700.92</v>
      </c>
    </row>
    <row r="113" spans="1:20">
      <c r="A113" s="9"/>
      <c r="B113" s="8"/>
      <c r="C113" s="8"/>
      <c r="D113" s="21"/>
      <c r="E113" s="69">
        <v>151</v>
      </c>
      <c r="F113" s="136" t="s">
        <v>99</v>
      </c>
      <c r="G113" s="26">
        <v>43006</v>
      </c>
      <c r="H113" s="37">
        <v>25421</v>
      </c>
      <c r="I113" s="37">
        <v>25421</v>
      </c>
      <c r="J113" s="75">
        <f t="shared" si="65"/>
        <v>25421</v>
      </c>
      <c r="K113" s="35">
        <f>'1.02.'!M113</f>
        <v>13400</v>
      </c>
      <c r="L113" s="35">
        <v>12021</v>
      </c>
      <c r="M113" s="92">
        <f t="shared" si="62"/>
        <v>25421</v>
      </c>
      <c r="N113" s="93">
        <f t="shared" si="63"/>
        <v>0</v>
      </c>
      <c r="O113" s="70">
        <f t="shared" si="54"/>
        <v>100</v>
      </c>
      <c r="P113" s="71">
        <f t="shared" si="43"/>
        <v>0</v>
      </c>
      <c r="Q113" s="35">
        <f t="shared" si="44"/>
        <v>0</v>
      </c>
      <c r="R113" s="72">
        <v>1103684</v>
      </c>
      <c r="S113" s="72">
        <f t="shared" si="45"/>
        <v>17585</v>
      </c>
      <c r="T113" s="62">
        <f t="shared" si="57"/>
        <v>17585</v>
      </c>
    </row>
    <row r="114" spans="1:20">
      <c r="A114" s="9"/>
      <c r="B114" s="9"/>
      <c r="C114" s="9"/>
      <c r="D114" s="69"/>
      <c r="E114" s="69">
        <v>152</v>
      </c>
      <c r="F114" s="136" t="s">
        <v>100</v>
      </c>
      <c r="G114" s="26">
        <v>2907</v>
      </c>
      <c r="H114" s="37">
        <v>2907</v>
      </c>
      <c r="I114" s="37">
        <v>200</v>
      </c>
      <c r="J114" s="75">
        <v>1667.3999799999999</v>
      </c>
      <c r="K114" s="35">
        <f>'1.02.'!M114</f>
        <v>0</v>
      </c>
      <c r="L114" s="35">
        <v>200</v>
      </c>
      <c r="M114" s="92">
        <f t="shared" si="62"/>
        <v>200</v>
      </c>
      <c r="N114" s="93">
        <f t="shared" si="63"/>
        <v>0</v>
      </c>
      <c r="O114" s="70">
        <f t="shared" si="54"/>
        <v>100</v>
      </c>
      <c r="P114" s="71">
        <f t="shared" si="43"/>
        <v>1467.3999799999999</v>
      </c>
      <c r="Q114" s="35">
        <f t="shared" si="44"/>
        <v>1239.6000200000001</v>
      </c>
      <c r="R114" s="72">
        <v>1103685</v>
      </c>
      <c r="S114" s="72">
        <f t="shared" si="45"/>
        <v>2707</v>
      </c>
      <c r="T114" s="62">
        <f t="shared" si="57"/>
        <v>1239.6000200000001</v>
      </c>
    </row>
    <row r="115" spans="1:20" ht="25.5">
      <c r="A115" s="9"/>
      <c r="B115" s="9"/>
      <c r="C115" s="9"/>
      <c r="D115" s="69"/>
      <c r="E115" s="69">
        <v>158</v>
      </c>
      <c r="F115" s="136" t="s">
        <v>101</v>
      </c>
      <c r="G115" s="26">
        <v>730</v>
      </c>
      <c r="H115" s="37">
        <v>730</v>
      </c>
      <c r="I115" s="37">
        <v>61</v>
      </c>
      <c r="J115" s="75">
        <v>730</v>
      </c>
      <c r="K115" s="35">
        <f>'1.02.'!M115</f>
        <v>0</v>
      </c>
      <c r="L115" s="35">
        <v>61</v>
      </c>
      <c r="M115" s="92">
        <f t="shared" si="62"/>
        <v>61</v>
      </c>
      <c r="N115" s="93">
        <f t="shared" si="63"/>
        <v>0</v>
      </c>
      <c r="O115" s="70">
        <f t="shared" si="54"/>
        <v>100</v>
      </c>
      <c r="P115" s="71">
        <f t="shared" si="43"/>
        <v>669</v>
      </c>
      <c r="Q115" s="35">
        <f t="shared" si="44"/>
        <v>0</v>
      </c>
      <c r="R115" s="72">
        <v>1103686</v>
      </c>
      <c r="S115" s="72">
        <f t="shared" si="45"/>
        <v>669</v>
      </c>
      <c r="T115" s="62">
        <f t="shared" si="57"/>
        <v>0</v>
      </c>
    </row>
    <row r="116" spans="1:20">
      <c r="A116" s="9"/>
      <c r="B116" s="8"/>
      <c r="C116" s="8"/>
      <c r="D116" s="69"/>
      <c r="E116" s="69">
        <v>159</v>
      </c>
      <c r="F116" s="136" t="s">
        <v>84</v>
      </c>
      <c r="G116" s="26">
        <v>7990</v>
      </c>
      <c r="H116" s="37">
        <v>2685</v>
      </c>
      <c r="I116" s="37"/>
      <c r="J116" s="75">
        <v>2684.8389999999999</v>
      </c>
      <c r="K116" s="35">
        <f>'1.02.'!M116</f>
        <v>0</v>
      </c>
      <c r="L116" s="35"/>
      <c r="M116" s="92">
        <f t="shared" si="62"/>
        <v>0</v>
      </c>
      <c r="N116" s="93">
        <f t="shared" si="63"/>
        <v>0</v>
      </c>
      <c r="O116" s="70" t="e">
        <f t="shared" si="54"/>
        <v>#DIV/0!</v>
      </c>
      <c r="P116" s="71">
        <f t="shared" si="43"/>
        <v>2684.8389999999999</v>
      </c>
      <c r="Q116" s="35">
        <f t="shared" si="44"/>
        <v>0.16100000000005821</v>
      </c>
      <c r="R116" s="72">
        <v>1103687</v>
      </c>
      <c r="S116" s="72">
        <f t="shared" si="45"/>
        <v>7990</v>
      </c>
      <c r="T116" s="62">
        <f t="shared" si="57"/>
        <v>5305.1610000000001</v>
      </c>
    </row>
    <row r="117" spans="1:20">
      <c r="A117" s="9"/>
      <c r="B117" s="8"/>
      <c r="C117" s="8"/>
      <c r="D117" s="69"/>
      <c r="E117" s="76">
        <v>161</v>
      </c>
      <c r="F117" s="136" t="s">
        <v>102</v>
      </c>
      <c r="G117" s="26">
        <v>1250</v>
      </c>
      <c r="H117" s="37"/>
      <c r="I117" s="37"/>
      <c r="J117" s="75">
        <f t="shared" si="65"/>
        <v>0</v>
      </c>
      <c r="K117" s="35">
        <f>'1.02.'!M117</f>
        <v>0</v>
      </c>
      <c r="L117" s="35"/>
      <c r="M117" s="92">
        <f t="shared" si="62"/>
        <v>0</v>
      </c>
      <c r="N117" s="93">
        <f t="shared" si="63"/>
        <v>0</v>
      </c>
      <c r="O117" s="70" t="e">
        <f t="shared" si="54"/>
        <v>#DIV/0!</v>
      </c>
      <c r="P117" s="71">
        <f t="shared" si="43"/>
        <v>0</v>
      </c>
      <c r="Q117" s="35">
        <f t="shared" si="44"/>
        <v>0</v>
      </c>
      <c r="R117" s="72">
        <v>1103688</v>
      </c>
      <c r="S117" s="72">
        <f t="shared" si="45"/>
        <v>1250</v>
      </c>
      <c r="T117" s="62">
        <f t="shared" si="57"/>
        <v>1250</v>
      </c>
    </row>
    <row r="118" spans="1:20">
      <c r="A118" s="9"/>
      <c r="B118" s="8"/>
      <c r="C118" s="8"/>
      <c r="D118" s="69"/>
      <c r="E118" s="69">
        <v>169</v>
      </c>
      <c r="F118" s="136" t="s">
        <v>103</v>
      </c>
      <c r="G118" s="26">
        <v>200</v>
      </c>
      <c r="H118" s="37">
        <v>50</v>
      </c>
      <c r="I118" s="37">
        <v>50</v>
      </c>
      <c r="J118" s="75">
        <f t="shared" si="65"/>
        <v>0</v>
      </c>
      <c r="K118" s="35">
        <f>'1.02.'!M118</f>
        <v>0</v>
      </c>
      <c r="L118" s="35"/>
      <c r="M118" s="92">
        <f t="shared" si="62"/>
        <v>0</v>
      </c>
      <c r="N118" s="93">
        <f t="shared" si="63"/>
        <v>50</v>
      </c>
      <c r="O118" s="70">
        <f t="shared" si="54"/>
        <v>0</v>
      </c>
      <c r="P118" s="71">
        <f t="shared" si="43"/>
        <v>0</v>
      </c>
      <c r="Q118" s="35">
        <f t="shared" si="44"/>
        <v>50</v>
      </c>
      <c r="R118" s="72">
        <v>1103689</v>
      </c>
      <c r="S118" s="72">
        <f t="shared" si="45"/>
        <v>200</v>
      </c>
      <c r="T118" s="62">
        <f t="shared" si="57"/>
        <v>200</v>
      </c>
    </row>
    <row r="119" spans="1:20" s="73" customFormat="1">
      <c r="A119" s="8"/>
      <c r="B119" s="17">
        <v>1263</v>
      </c>
      <c r="C119" s="12"/>
      <c r="D119" s="11"/>
      <c r="E119" s="18"/>
      <c r="F119" s="139" t="s">
        <v>117</v>
      </c>
      <c r="G119" s="42">
        <f t="shared" ref="G119:N119" si="66">G120+G139</f>
        <v>557301</v>
      </c>
      <c r="H119" s="42">
        <f t="shared" si="66"/>
        <v>104252.6</v>
      </c>
      <c r="I119" s="42">
        <f t="shared" si="66"/>
        <v>43480.6</v>
      </c>
      <c r="J119" s="29">
        <f t="shared" si="66"/>
        <v>71250.720750000008</v>
      </c>
      <c r="K119" s="29">
        <f>'1.02.'!M119</f>
        <v>10083.11916</v>
      </c>
      <c r="L119" s="29">
        <f t="shared" si="66"/>
        <v>33355.500540000001</v>
      </c>
      <c r="M119" s="29">
        <f t="shared" si="66"/>
        <v>43438.619700000003</v>
      </c>
      <c r="N119" s="29">
        <f t="shared" si="66"/>
        <v>41.98029999999568</v>
      </c>
      <c r="O119" s="68">
        <f t="shared" si="54"/>
        <v>99.90345050436288</v>
      </c>
      <c r="P119" s="71">
        <f t="shared" si="43"/>
        <v>27812.101050000005</v>
      </c>
      <c r="Q119" s="35">
        <f t="shared" si="44"/>
        <v>33001.879249999998</v>
      </c>
      <c r="R119" s="72">
        <v>1103690</v>
      </c>
      <c r="S119" s="72">
        <f t="shared" si="45"/>
        <v>513862.38030000002</v>
      </c>
      <c r="T119" s="62">
        <f t="shared" si="57"/>
        <v>486050.27925000002</v>
      </c>
    </row>
    <row r="120" spans="1:20" s="73" customFormat="1" ht="63.75">
      <c r="A120" s="8"/>
      <c r="B120" s="12"/>
      <c r="C120" s="12" t="s">
        <v>25</v>
      </c>
      <c r="D120" s="11"/>
      <c r="E120" s="18"/>
      <c r="F120" s="139" t="s">
        <v>118</v>
      </c>
      <c r="G120" s="42">
        <f>G121</f>
        <v>557301</v>
      </c>
      <c r="H120" s="42">
        <f t="shared" ref="H120:N120" si="67">H121</f>
        <v>104252.6</v>
      </c>
      <c r="I120" s="42">
        <f t="shared" si="67"/>
        <v>43480.6</v>
      </c>
      <c r="J120" s="42">
        <f t="shared" si="67"/>
        <v>71250.720750000008</v>
      </c>
      <c r="K120" s="29">
        <f>'1.02.'!M120</f>
        <v>10083.11916</v>
      </c>
      <c r="L120" s="29">
        <f t="shared" si="67"/>
        <v>33355.500540000001</v>
      </c>
      <c r="M120" s="42">
        <f t="shared" si="67"/>
        <v>43438.619700000003</v>
      </c>
      <c r="N120" s="42">
        <f t="shared" si="67"/>
        <v>41.98029999999568</v>
      </c>
      <c r="O120" s="68">
        <f t="shared" si="54"/>
        <v>99.90345050436288</v>
      </c>
      <c r="P120" s="71">
        <f t="shared" si="43"/>
        <v>27812.101050000005</v>
      </c>
      <c r="Q120" s="35">
        <f t="shared" si="44"/>
        <v>33001.879249999998</v>
      </c>
      <c r="R120" s="72">
        <v>1103691</v>
      </c>
      <c r="S120" s="72">
        <f t="shared" si="45"/>
        <v>513862.38030000002</v>
      </c>
      <c r="T120" s="62">
        <f t="shared" si="57"/>
        <v>486050.27925000002</v>
      </c>
    </row>
    <row r="121" spans="1:20" s="73" customFormat="1">
      <c r="A121" s="8"/>
      <c r="B121" s="12"/>
      <c r="C121" s="12"/>
      <c r="D121" s="11" t="s">
        <v>7</v>
      </c>
      <c r="E121" s="19"/>
      <c r="F121" s="140" t="s">
        <v>85</v>
      </c>
      <c r="G121" s="30">
        <f>SUM(G122:G138)</f>
        <v>557301</v>
      </c>
      <c r="H121" s="30">
        <f t="shared" ref="H121:N121" si="68">SUM(H122:H138)</f>
        <v>104252.6</v>
      </c>
      <c r="I121" s="30">
        <f t="shared" si="68"/>
        <v>43480.6</v>
      </c>
      <c r="J121" s="32">
        <f>SUM(J122:J138)</f>
        <v>71250.720750000008</v>
      </c>
      <c r="K121" s="29">
        <f>'1.02.'!M121</f>
        <v>10083.11916</v>
      </c>
      <c r="L121" s="32">
        <f>SUM(L122:L138)</f>
        <v>33355.500540000001</v>
      </c>
      <c r="M121" s="32">
        <f t="shared" si="68"/>
        <v>43438.619700000003</v>
      </c>
      <c r="N121" s="32">
        <f t="shared" si="68"/>
        <v>41.98029999999568</v>
      </c>
      <c r="O121" s="68">
        <f t="shared" si="54"/>
        <v>99.90345050436288</v>
      </c>
      <c r="P121" s="71">
        <f t="shared" si="43"/>
        <v>27812.101050000005</v>
      </c>
      <c r="Q121" s="35">
        <f t="shared" si="44"/>
        <v>33001.879249999998</v>
      </c>
      <c r="R121" s="72">
        <v>1103692</v>
      </c>
      <c r="S121" s="72">
        <f t="shared" si="45"/>
        <v>513862.38030000002</v>
      </c>
      <c r="T121" s="62">
        <f t="shared" si="57"/>
        <v>486050.27925000002</v>
      </c>
    </row>
    <row r="122" spans="1:20">
      <c r="A122" s="8"/>
      <c r="B122" s="13"/>
      <c r="C122" s="13"/>
      <c r="D122" s="14"/>
      <c r="E122" s="20">
        <v>111</v>
      </c>
      <c r="F122" s="136" t="s">
        <v>86</v>
      </c>
      <c r="G122" s="34">
        <v>288321</v>
      </c>
      <c r="H122" s="34">
        <v>20799.3</v>
      </c>
      <c r="I122" s="34">
        <v>20799.3</v>
      </c>
      <c r="J122" s="75">
        <f>M122</f>
        <v>20799.272000000001</v>
      </c>
      <c r="K122" s="35">
        <f>'1.02.'!M122</f>
        <v>1500</v>
      </c>
      <c r="L122" s="36">
        <v>19299.272000000001</v>
      </c>
      <c r="M122" s="92">
        <f t="shared" si="62"/>
        <v>20799.272000000001</v>
      </c>
      <c r="N122" s="93">
        <f>I122-M122</f>
        <v>2.7999999998428393E-2</v>
      </c>
      <c r="O122" s="70">
        <f t="shared" si="54"/>
        <v>99.999865380084913</v>
      </c>
      <c r="P122" s="71">
        <f t="shared" si="43"/>
        <v>0</v>
      </c>
      <c r="Q122" s="35">
        <f t="shared" si="44"/>
        <v>2.7999999998428393E-2</v>
      </c>
      <c r="R122" s="72">
        <v>1103693</v>
      </c>
      <c r="S122" s="72">
        <f t="shared" si="45"/>
        <v>267521.728</v>
      </c>
      <c r="T122" s="62">
        <f t="shared" si="57"/>
        <v>267521.728</v>
      </c>
    </row>
    <row r="123" spans="1:20">
      <c r="A123" s="8"/>
      <c r="B123" s="13"/>
      <c r="C123" s="13"/>
      <c r="D123" s="14"/>
      <c r="E123" s="20">
        <v>112</v>
      </c>
      <c r="F123" s="136" t="s">
        <v>87</v>
      </c>
      <c r="G123" s="34"/>
      <c r="H123" s="34"/>
      <c r="I123" s="34"/>
      <c r="J123" s="75">
        <f t="shared" ref="J123:J137" si="69">M123</f>
        <v>0</v>
      </c>
      <c r="K123" s="35">
        <f>'1.02.'!M123</f>
        <v>0</v>
      </c>
      <c r="L123" s="36"/>
      <c r="M123" s="92">
        <f t="shared" si="62"/>
        <v>0</v>
      </c>
      <c r="N123" s="93">
        <f>I123-M123</f>
        <v>0</v>
      </c>
      <c r="O123" s="70" t="e">
        <f t="shared" si="54"/>
        <v>#DIV/0!</v>
      </c>
      <c r="P123" s="71">
        <f t="shared" si="43"/>
        <v>0</v>
      </c>
      <c r="Q123" s="35">
        <f t="shared" si="44"/>
        <v>0</v>
      </c>
      <c r="R123" s="72">
        <v>1103694</v>
      </c>
      <c r="S123" s="72">
        <f t="shared" si="45"/>
        <v>0</v>
      </c>
    </row>
    <row r="124" spans="1:20">
      <c r="A124" s="8"/>
      <c r="B124" s="15"/>
      <c r="C124" s="15"/>
      <c r="D124" s="16"/>
      <c r="E124" s="20">
        <v>113</v>
      </c>
      <c r="F124" s="136" t="s">
        <v>88</v>
      </c>
      <c r="G124" s="34">
        <v>7446</v>
      </c>
      <c r="H124" s="34">
        <v>411</v>
      </c>
      <c r="I124" s="34">
        <v>411</v>
      </c>
      <c r="J124" s="75">
        <f t="shared" si="69"/>
        <v>410.36099999999999</v>
      </c>
      <c r="K124" s="35">
        <f>'1.02.'!M124</f>
        <v>102.643</v>
      </c>
      <c r="L124" s="36">
        <v>307.71800000000002</v>
      </c>
      <c r="M124" s="92">
        <f t="shared" si="62"/>
        <v>410.36099999999999</v>
      </c>
      <c r="N124" s="93">
        <f t="shared" si="63"/>
        <v>0.63900000000001</v>
      </c>
      <c r="O124" s="70">
        <f t="shared" si="54"/>
        <v>99.844525547445244</v>
      </c>
      <c r="P124" s="71">
        <f t="shared" si="43"/>
        <v>0</v>
      </c>
      <c r="Q124" s="35">
        <f t="shared" si="44"/>
        <v>0.63900000000001</v>
      </c>
      <c r="R124" s="72">
        <v>1103695</v>
      </c>
      <c r="S124" s="72">
        <f t="shared" si="45"/>
        <v>7035.6390000000001</v>
      </c>
      <c r="T124" s="62">
        <f t="shared" si="57"/>
        <v>7035.6390000000001</v>
      </c>
    </row>
    <row r="125" spans="1:20">
      <c r="A125" s="8"/>
      <c r="B125" s="15"/>
      <c r="C125" s="15"/>
      <c r="D125" s="16"/>
      <c r="E125" s="69">
        <v>116</v>
      </c>
      <c r="F125" s="136" t="s">
        <v>89</v>
      </c>
      <c r="G125" s="34">
        <v>9009</v>
      </c>
      <c r="H125" s="34">
        <v>300</v>
      </c>
      <c r="I125" s="34">
        <v>300</v>
      </c>
      <c r="J125" s="75">
        <f t="shared" si="69"/>
        <v>298.71800000000002</v>
      </c>
      <c r="K125" s="35">
        <f>'1.02.'!M125</f>
        <v>0</v>
      </c>
      <c r="L125" s="36">
        <v>298.71800000000002</v>
      </c>
      <c r="M125" s="92">
        <f>K125+L125</f>
        <v>298.71800000000002</v>
      </c>
      <c r="N125" s="93">
        <f>I125-M125</f>
        <v>1.2819999999999823</v>
      </c>
      <c r="O125" s="70">
        <f>M125/I125*100</f>
        <v>99.572666666666677</v>
      </c>
      <c r="P125" s="71">
        <f t="shared" si="43"/>
        <v>0</v>
      </c>
      <c r="Q125" s="35">
        <f t="shared" si="44"/>
        <v>1.2819999999999823</v>
      </c>
      <c r="R125" s="72">
        <v>1103696</v>
      </c>
      <c r="S125" s="72">
        <f t="shared" si="45"/>
        <v>8710.2819999999992</v>
      </c>
    </row>
    <row r="126" spans="1:20">
      <c r="A126" s="8"/>
      <c r="B126" s="15"/>
      <c r="C126" s="15"/>
      <c r="D126" s="16"/>
      <c r="E126" s="20">
        <v>121</v>
      </c>
      <c r="F126" s="136" t="s">
        <v>90</v>
      </c>
      <c r="G126" s="34">
        <v>14861</v>
      </c>
      <c r="H126" s="34">
        <v>1031.3</v>
      </c>
      <c r="I126" s="34">
        <v>1031.3</v>
      </c>
      <c r="J126" s="75">
        <f t="shared" si="69"/>
        <v>1031.3</v>
      </c>
      <c r="K126" s="35">
        <f>'1.02.'!M126</f>
        <v>0</v>
      </c>
      <c r="L126" s="36">
        <v>1031.3</v>
      </c>
      <c r="M126" s="92">
        <f t="shared" si="62"/>
        <v>1031.3</v>
      </c>
      <c r="N126" s="93">
        <f t="shared" si="63"/>
        <v>0</v>
      </c>
      <c r="O126" s="70">
        <f t="shared" si="54"/>
        <v>100</v>
      </c>
      <c r="P126" s="71">
        <f t="shared" si="43"/>
        <v>0</v>
      </c>
      <c r="Q126" s="35">
        <f t="shared" si="44"/>
        <v>0</v>
      </c>
      <c r="R126" s="72">
        <v>1103697</v>
      </c>
      <c r="S126" s="72">
        <f t="shared" si="45"/>
        <v>13829.7</v>
      </c>
      <c r="T126" s="62">
        <f t="shared" si="57"/>
        <v>13829.7</v>
      </c>
    </row>
    <row r="127" spans="1:20" ht="25.5">
      <c r="A127" s="8"/>
      <c r="B127" s="15"/>
      <c r="C127" s="15"/>
      <c r="D127" s="16"/>
      <c r="E127" s="20">
        <v>122</v>
      </c>
      <c r="F127" s="136" t="s">
        <v>91</v>
      </c>
      <c r="G127" s="37">
        <v>12910</v>
      </c>
      <c r="H127" s="37">
        <v>752.9</v>
      </c>
      <c r="I127" s="37">
        <v>752.9</v>
      </c>
      <c r="J127" s="75">
        <f t="shared" si="69"/>
        <v>752.83799999999997</v>
      </c>
      <c r="K127" s="35">
        <f>'1.02.'!M127</f>
        <v>0</v>
      </c>
      <c r="L127" s="35">
        <v>752.83799999999997</v>
      </c>
      <c r="M127" s="92">
        <f t="shared" si="62"/>
        <v>752.83799999999997</v>
      </c>
      <c r="N127" s="93">
        <f t="shared" si="63"/>
        <v>6.2000000000011823E-2</v>
      </c>
      <c r="O127" s="70">
        <f t="shared" si="54"/>
        <v>99.991765174657985</v>
      </c>
      <c r="P127" s="71">
        <f t="shared" si="43"/>
        <v>0</v>
      </c>
      <c r="Q127" s="35">
        <f t="shared" si="44"/>
        <v>6.2000000000011823E-2</v>
      </c>
      <c r="R127" s="72">
        <v>1103698</v>
      </c>
      <c r="S127" s="72">
        <f t="shared" si="45"/>
        <v>12157.162</v>
      </c>
      <c r="T127" s="62">
        <f t="shared" si="57"/>
        <v>12157.162</v>
      </c>
    </row>
    <row r="128" spans="1:20">
      <c r="A128" s="8"/>
      <c r="B128" s="15"/>
      <c r="C128" s="15"/>
      <c r="D128" s="16"/>
      <c r="E128" s="20">
        <v>123</v>
      </c>
      <c r="F128" s="136" t="s">
        <v>92</v>
      </c>
      <c r="G128" s="34">
        <v>228</v>
      </c>
      <c r="H128" s="34"/>
      <c r="I128" s="34"/>
      <c r="J128" s="75">
        <f t="shared" si="69"/>
        <v>0</v>
      </c>
      <c r="K128" s="35">
        <f>'1.02.'!M128</f>
        <v>0</v>
      </c>
      <c r="L128" s="36"/>
      <c r="M128" s="92">
        <f t="shared" si="62"/>
        <v>0</v>
      </c>
      <c r="N128" s="93">
        <f t="shared" si="63"/>
        <v>0</v>
      </c>
      <c r="O128" s="70" t="e">
        <f t="shared" si="54"/>
        <v>#DIV/0!</v>
      </c>
      <c r="P128" s="71">
        <f t="shared" si="43"/>
        <v>0</v>
      </c>
      <c r="Q128" s="35">
        <f t="shared" si="44"/>
        <v>0</v>
      </c>
      <c r="R128" s="72">
        <v>1103699</v>
      </c>
      <c r="S128" s="72">
        <f t="shared" si="45"/>
        <v>228</v>
      </c>
      <c r="T128" s="62">
        <f t="shared" si="57"/>
        <v>228</v>
      </c>
    </row>
    <row r="129" spans="1:20">
      <c r="A129" s="9"/>
      <c r="B129" s="15"/>
      <c r="C129" s="15"/>
      <c r="D129" s="16"/>
      <c r="E129" s="20">
        <v>124</v>
      </c>
      <c r="F129" s="136" t="s">
        <v>93</v>
      </c>
      <c r="G129" s="37">
        <v>8607</v>
      </c>
      <c r="H129" s="37">
        <v>467.1</v>
      </c>
      <c r="I129" s="37">
        <v>467.1</v>
      </c>
      <c r="J129" s="75">
        <f t="shared" si="69"/>
        <v>467.06599999999997</v>
      </c>
      <c r="K129" s="35">
        <f>'1.02.'!M129</f>
        <v>0</v>
      </c>
      <c r="L129" s="35">
        <v>467.06599999999997</v>
      </c>
      <c r="M129" s="92">
        <f t="shared" si="62"/>
        <v>467.06599999999997</v>
      </c>
      <c r="N129" s="93">
        <f t="shared" si="63"/>
        <v>3.4000000000048658E-2</v>
      </c>
      <c r="O129" s="70">
        <f t="shared" si="54"/>
        <v>99.992721044744158</v>
      </c>
      <c r="P129" s="71">
        <f t="shared" si="43"/>
        <v>0</v>
      </c>
      <c r="Q129" s="35">
        <f t="shared" si="44"/>
        <v>3.4000000000048658E-2</v>
      </c>
      <c r="R129" s="72">
        <v>1103700</v>
      </c>
      <c r="S129" s="72">
        <f t="shared" si="45"/>
        <v>8139.9340000000002</v>
      </c>
      <c r="T129" s="62">
        <f t="shared" si="57"/>
        <v>8139.9340000000002</v>
      </c>
    </row>
    <row r="130" spans="1:20">
      <c r="A130" s="9"/>
      <c r="B130" s="15"/>
      <c r="C130" s="15"/>
      <c r="D130" s="16"/>
      <c r="E130" s="20">
        <v>141</v>
      </c>
      <c r="F130" s="136" t="s">
        <v>116</v>
      </c>
      <c r="G130" s="34">
        <v>138471</v>
      </c>
      <c r="H130" s="34">
        <v>56000</v>
      </c>
      <c r="I130" s="34"/>
      <c r="J130" s="75">
        <v>23505.460859999999</v>
      </c>
      <c r="K130" s="35">
        <f>'1.02.'!M130</f>
        <v>0</v>
      </c>
      <c r="L130" s="36"/>
      <c r="M130" s="92">
        <f t="shared" si="62"/>
        <v>0</v>
      </c>
      <c r="N130" s="93">
        <f t="shared" si="63"/>
        <v>0</v>
      </c>
      <c r="O130" s="70" t="e">
        <f t="shared" si="54"/>
        <v>#DIV/0!</v>
      </c>
      <c r="P130" s="71">
        <f t="shared" si="43"/>
        <v>23505.460859999999</v>
      </c>
      <c r="Q130" s="35">
        <f t="shared" si="44"/>
        <v>32494.539140000001</v>
      </c>
      <c r="R130" s="72">
        <v>1103701</v>
      </c>
      <c r="S130" s="72">
        <f t="shared" si="45"/>
        <v>138471</v>
      </c>
      <c r="T130" s="62">
        <f t="shared" si="57"/>
        <v>114965.53914000001</v>
      </c>
    </row>
    <row r="131" spans="1:20">
      <c r="A131" s="9"/>
      <c r="B131" s="15"/>
      <c r="C131" s="15"/>
      <c r="D131" s="16"/>
      <c r="E131" s="20">
        <v>144</v>
      </c>
      <c r="F131" s="136" t="s">
        <v>97</v>
      </c>
      <c r="G131" s="37">
        <v>1470</v>
      </c>
      <c r="H131" s="37"/>
      <c r="I131" s="37"/>
      <c r="J131" s="75">
        <f t="shared" si="69"/>
        <v>0</v>
      </c>
      <c r="K131" s="35">
        <f>'1.02.'!M131</f>
        <v>0</v>
      </c>
      <c r="L131" s="36"/>
      <c r="M131" s="92">
        <f t="shared" si="62"/>
        <v>0</v>
      </c>
      <c r="N131" s="93">
        <f t="shared" si="63"/>
        <v>0</v>
      </c>
      <c r="O131" s="70" t="e">
        <f t="shared" si="54"/>
        <v>#DIV/0!</v>
      </c>
      <c r="P131" s="71">
        <f t="shared" si="43"/>
        <v>0</v>
      </c>
      <c r="Q131" s="35">
        <f t="shared" si="44"/>
        <v>0</v>
      </c>
      <c r="R131" s="72">
        <v>1103702</v>
      </c>
      <c r="S131" s="72">
        <f t="shared" si="45"/>
        <v>1470</v>
      </c>
      <c r="T131" s="62">
        <f t="shared" si="57"/>
        <v>1470</v>
      </c>
    </row>
    <row r="132" spans="1:20">
      <c r="A132" s="9"/>
      <c r="B132" s="15"/>
      <c r="C132" s="15"/>
      <c r="D132" s="16"/>
      <c r="E132" s="20">
        <v>149</v>
      </c>
      <c r="F132" s="136" t="s">
        <v>98</v>
      </c>
      <c r="G132" s="34">
        <v>5557</v>
      </c>
      <c r="H132" s="34"/>
      <c r="I132" s="34"/>
      <c r="J132" s="75">
        <f t="shared" si="69"/>
        <v>0</v>
      </c>
      <c r="K132" s="35">
        <f>'1.02.'!M132</f>
        <v>0</v>
      </c>
      <c r="L132" s="35"/>
      <c r="M132" s="93">
        <f t="shared" si="62"/>
        <v>0</v>
      </c>
      <c r="N132" s="93">
        <f>I132-M132</f>
        <v>0</v>
      </c>
      <c r="O132" s="70" t="e">
        <f t="shared" si="54"/>
        <v>#DIV/0!</v>
      </c>
      <c r="P132" s="71">
        <f t="shared" si="43"/>
        <v>0</v>
      </c>
      <c r="Q132" s="35">
        <f t="shared" si="44"/>
        <v>0</v>
      </c>
      <c r="R132" s="72">
        <v>1103703</v>
      </c>
      <c r="S132" s="72">
        <f t="shared" si="45"/>
        <v>5557</v>
      </c>
      <c r="T132" s="62">
        <f t="shared" si="57"/>
        <v>5557</v>
      </c>
    </row>
    <row r="133" spans="1:20">
      <c r="A133" s="9"/>
      <c r="B133" s="15"/>
      <c r="C133" s="15"/>
      <c r="D133" s="16"/>
      <c r="E133" s="20">
        <v>151</v>
      </c>
      <c r="F133" s="136" t="s">
        <v>99</v>
      </c>
      <c r="G133" s="34">
        <v>60855</v>
      </c>
      <c r="H133" s="34">
        <v>18591</v>
      </c>
      <c r="I133" s="34">
        <v>18591</v>
      </c>
      <c r="J133" s="75">
        <f t="shared" si="69"/>
        <v>18590.449630000003</v>
      </c>
      <c r="K133" s="35">
        <f>'1.02.'!M133</f>
        <v>8480.4761600000002</v>
      </c>
      <c r="L133" s="36">
        <v>10109.973470000001</v>
      </c>
      <c r="M133" s="93">
        <f t="shared" si="62"/>
        <v>18590.449630000003</v>
      </c>
      <c r="N133" s="93">
        <f t="shared" si="63"/>
        <v>0.55036999999720138</v>
      </c>
      <c r="O133" s="70">
        <f t="shared" si="54"/>
        <v>99.99703958904847</v>
      </c>
      <c r="P133" s="71">
        <f t="shared" si="43"/>
        <v>0</v>
      </c>
      <c r="Q133" s="35">
        <f t="shared" si="44"/>
        <v>0.55036999999720138</v>
      </c>
      <c r="R133" s="72">
        <v>1103704</v>
      </c>
      <c r="S133" s="72">
        <f t="shared" si="45"/>
        <v>42264.550369999997</v>
      </c>
      <c r="T133" s="62">
        <f t="shared" si="57"/>
        <v>42264.550369999997</v>
      </c>
    </row>
    <row r="134" spans="1:20">
      <c r="A134" s="9"/>
      <c r="B134" s="15"/>
      <c r="C134" s="15"/>
      <c r="D134" s="16"/>
      <c r="E134" s="20">
        <v>152</v>
      </c>
      <c r="F134" s="136" t="s">
        <v>100</v>
      </c>
      <c r="G134" s="34">
        <v>1940</v>
      </c>
      <c r="H134" s="34">
        <v>855</v>
      </c>
      <c r="I134" s="34">
        <v>160</v>
      </c>
      <c r="J134" s="75">
        <v>854.71015999999997</v>
      </c>
      <c r="K134" s="35">
        <f>'1.02.'!M134</f>
        <v>0</v>
      </c>
      <c r="L134" s="36">
        <v>146.86462</v>
      </c>
      <c r="M134" s="92">
        <f t="shared" si="62"/>
        <v>146.86462</v>
      </c>
      <c r="N134" s="93">
        <f t="shared" si="63"/>
        <v>13.135379999999998</v>
      </c>
      <c r="O134" s="70">
        <f t="shared" si="54"/>
        <v>91.790387500000008</v>
      </c>
      <c r="P134" s="71">
        <f t="shared" si="43"/>
        <v>707.84554000000003</v>
      </c>
      <c r="Q134" s="35">
        <f t="shared" si="44"/>
        <v>0.28984000000002652</v>
      </c>
      <c r="R134" s="72">
        <v>1103705</v>
      </c>
      <c r="S134" s="72">
        <f t="shared" si="45"/>
        <v>1793.1353799999999</v>
      </c>
      <c r="T134" s="62">
        <f t="shared" si="57"/>
        <v>1085.2898399999999</v>
      </c>
    </row>
    <row r="135" spans="1:20" ht="25.5">
      <c r="A135" s="9"/>
      <c r="B135" s="15"/>
      <c r="C135" s="15"/>
      <c r="D135" s="16"/>
      <c r="E135" s="20">
        <v>158</v>
      </c>
      <c r="F135" s="136" t="s">
        <v>101</v>
      </c>
      <c r="G135" s="34">
        <f>730+900</f>
        <v>1630</v>
      </c>
      <c r="H135" s="34">
        <v>1630</v>
      </c>
      <c r="I135" s="34">
        <v>122</v>
      </c>
      <c r="J135" s="75">
        <v>1630</v>
      </c>
      <c r="K135" s="35">
        <f>'1.02.'!M135</f>
        <v>0</v>
      </c>
      <c r="L135" s="36">
        <v>122</v>
      </c>
      <c r="M135" s="92">
        <f t="shared" si="62"/>
        <v>122</v>
      </c>
      <c r="N135" s="93">
        <f t="shared" si="63"/>
        <v>0</v>
      </c>
      <c r="O135" s="70">
        <f t="shared" si="54"/>
        <v>100</v>
      </c>
      <c r="P135" s="71">
        <f t="shared" si="43"/>
        <v>1508</v>
      </c>
      <c r="Q135" s="35">
        <f t="shared" si="44"/>
        <v>0</v>
      </c>
      <c r="R135" s="72">
        <v>1103706</v>
      </c>
      <c r="S135" s="72">
        <f t="shared" si="45"/>
        <v>1508</v>
      </c>
      <c r="T135" s="62">
        <f t="shared" si="57"/>
        <v>0</v>
      </c>
    </row>
    <row r="136" spans="1:20">
      <c r="A136" s="9"/>
      <c r="B136" s="15"/>
      <c r="C136" s="15"/>
      <c r="D136" s="16"/>
      <c r="E136" s="20">
        <v>159</v>
      </c>
      <c r="F136" s="136" t="s">
        <v>84</v>
      </c>
      <c r="G136" s="34">
        <f>5598-900</f>
        <v>4698</v>
      </c>
      <c r="H136" s="34">
        <v>2931</v>
      </c>
      <c r="I136" s="34">
        <v>362</v>
      </c>
      <c r="J136" s="75">
        <v>2426.5450999999998</v>
      </c>
      <c r="K136" s="35">
        <f>'1.02.'!M136</f>
        <v>0</v>
      </c>
      <c r="L136" s="36">
        <v>335.75045</v>
      </c>
      <c r="M136" s="92">
        <f t="shared" si="62"/>
        <v>335.75045</v>
      </c>
      <c r="N136" s="93">
        <f t="shared" si="63"/>
        <v>26.249549999999999</v>
      </c>
      <c r="O136" s="70">
        <f t="shared" si="54"/>
        <v>92.748743093922641</v>
      </c>
      <c r="P136" s="71">
        <f t="shared" si="43"/>
        <v>2090.7946499999998</v>
      </c>
      <c r="Q136" s="35">
        <f t="shared" si="44"/>
        <v>504.45490000000018</v>
      </c>
      <c r="R136" s="72">
        <v>1103707</v>
      </c>
      <c r="S136" s="72">
        <f t="shared" si="45"/>
        <v>4362.2495500000005</v>
      </c>
      <c r="T136" s="62">
        <f t="shared" si="57"/>
        <v>2271.4549000000002</v>
      </c>
    </row>
    <row r="137" spans="1:20">
      <c r="A137" s="9"/>
      <c r="B137" s="15"/>
      <c r="C137" s="15"/>
      <c r="D137" s="16"/>
      <c r="E137" s="20">
        <v>161</v>
      </c>
      <c r="F137" s="136" t="s">
        <v>102</v>
      </c>
      <c r="G137" s="37"/>
      <c r="H137" s="37"/>
      <c r="I137" s="37"/>
      <c r="J137" s="75">
        <f t="shared" si="69"/>
        <v>0</v>
      </c>
      <c r="K137" s="35">
        <f>'1.02.'!M137</f>
        <v>0</v>
      </c>
      <c r="L137" s="35"/>
      <c r="M137" s="92">
        <f t="shared" si="62"/>
        <v>0</v>
      </c>
      <c r="N137" s="93">
        <f t="shared" si="63"/>
        <v>0</v>
      </c>
      <c r="O137" s="70" t="e">
        <f t="shared" si="54"/>
        <v>#DIV/0!</v>
      </c>
      <c r="P137" s="71">
        <f t="shared" si="43"/>
        <v>0</v>
      </c>
      <c r="Q137" s="35">
        <f t="shared" si="44"/>
        <v>0</v>
      </c>
      <c r="R137" s="72">
        <v>1103708</v>
      </c>
      <c r="S137" s="72">
        <f t="shared" si="45"/>
        <v>0</v>
      </c>
      <c r="T137" s="62">
        <f t="shared" si="57"/>
        <v>0</v>
      </c>
    </row>
    <row r="138" spans="1:20">
      <c r="A138" s="9"/>
      <c r="B138" s="15"/>
      <c r="C138" s="15"/>
      <c r="D138" s="16"/>
      <c r="E138" s="20">
        <v>169</v>
      </c>
      <c r="F138" s="136" t="s">
        <v>103</v>
      </c>
      <c r="G138" s="34">
        <v>1298</v>
      </c>
      <c r="H138" s="34">
        <v>484</v>
      </c>
      <c r="I138" s="34">
        <v>484</v>
      </c>
      <c r="J138" s="75">
        <v>484</v>
      </c>
      <c r="K138" s="35">
        <f>'1.02.'!M138</f>
        <v>0</v>
      </c>
      <c r="L138" s="36">
        <v>484</v>
      </c>
      <c r="M138" s="92">
        <f t="shared" si="62"/>
        <v>484</v>
      </c>
      <c r="N138" s="93">
        <f t="shared" si="63"/>
        <v>0</v>
      </c>
      <c r="O138" s="70">
        <f t="shared" si="54"/>
        <v>100</v>
      </c>
      <c r="P138" s="71">
        <f t="shared" ref="P138:P201" si="70">J138-M138</f>
        <v>0</v>
      </c>
      <c r="Q138" s="35">
        <f t="shared" ref="Q138:Q201" si="71">H138-J138</f>
        <v>0</v>
      </c>
      <c r="R138" s="72">
        <v>1103709</v>
      </c>
      <c r="S138" s="72">
        <f t="shared" ref="S138:S201" si="72">G138-M138</f>
        <v>814</v>
      </c>
      <c r="T138" s="62">
        <f t="shared" si="57"/>
        <v>814</v>
      </c>
    </row>
    <row r="139" spans="1:20" ht="25.5" hidden="1">
      <c r="A139" s="100"/>
      <c r="B139" s="15"/>
      <c r="C139" s="57" t="s">
        <v>43</v>
      </c>
      <c r="D139" s="16"/>
      <c r="E139" s="20"/>
      <c r="F139" s="3" t="s">
        <v>44</v>
      </c>
      <c r="G139" s="59">
        <f t="shared" ref="G139:N140" si="73">G140</f>
        <v>0</v>
      </c>
      <c r="H139" s="59">
        <f t="shared" si="73"/>
        <v>0</v>
      </c>
      <c r="I139" s="59">
        <f t="shared" si="73"/>
        <v>0</v>
      </c>
      <c r="J139" s="33">
        <f t="shared" si="73"/>
        <v>0</v>
      </c>
      <c r="K139" s="35">
        <f>'1.02.'!M139</f>
        <v>0</v>
      </c>
      <c r="L139" s="29">
        <f t="shared" si="73"/>
        <v>0</v>
      </c>
      <c r="M139" s="59">
        <f t="shared" si="73"/>
        <v>0</v>
      </c>
      <c r="N139" s="59">
        <f t="shared" si="73"/>
        <v>0</v>
      </c>
      <c r="O139" s="70"/>
      <c r="P139" s="71">
        <f t="shared" si="70"/>
        <v>0</v>
      </c>
      <c r="Q139" s="35">
        <f t="shared" si="71"/>
        <v>0</v>
      </c>
      <c r="R139" s="72">
        <v>1103710</v>
      </c>
      <c r="S139" s="72">
        <f t="shared" si="72"/>
        <v>0</v>
      </c>
    </row>
    <row r="140" spans="1:20" hidden="1">
      <c r="A140" s="9"/>
      <c r="B140" s="12"/>
      <c r="C140" s="12"/>
      <c r="D140" s="11" t="s">
        <v>7</v>
      </c>
      <c r="E140" s="97"/>
      <c r="F140" s="4" t="s">
        <v>22</v>
      </c>
      <c r="G140" s="98">
        <f>G141</f>
        <v>0</v>
      </c>
      <c r="H140" s="98">
        <f t="shared" si="73"/>
        <v>0</v>
      </c>
      <c r="I140" s="98">
        <f t="shared" si="73"/>
        <v>0</v>
      </c>
      <c r="J140" s="99">
        <f t="shared" si="73"/>
        <v>0</v>
      </c>
      <c r="K140" s="35">
        <f>'1.02.'!M140</f>
        <v>0</v>
      </c>
      <c r="L140" s="32">
        <f t="shared" si="73"/>
        <v>0</v>
      </c>
      <c r="M140" s="98">
        <f t="shared" si="73"/>
        <v>0</v>
      </c>
      <c r="N140" s="98">
        <f t="shared" si="73"/>
        <v>0</v>
      </c>
      <c r="O140" s="68" t="e">
        <f>M140/I140*100</f>
        <v>#DIV/0!</v>
      </c>
      <c r="P140" s="71">
        <f t="shared" si="70"/>
        <v>0</v>
      </c>
      <c r="Q140" s="35">
        <f t="shared" si="71"/>
        <v>0</v>
      </c>
      <c r="R140" s="72">
        <v>1103711</v>
      </c>
      <c r="S140" s="72">
        <f t="shared" si="72"/>
        <v>0</v>
      </c>
      <c r="T140" s="62">
        <f>G140-J140</f>
        <v>0</v>
      </c>
    </row>
    <row r="141" spans="1:20" ht="25.5" hidden="1">
      <c r="A141" s="9"/>
      <c r="B141" s="13"/>
      <c r="C141" s="13"/>
      <c r="D141" s="14"/>
      <c r="E141" s="20">
        <v>414</v>
      </c>
      <c r="F141" s="86" t="s">
        <v>64</v>
      </c>
      <c r="G141" s="37"/>
      <c r="H141" s="37"/>
      <c r="I141" s="37"/>
      <c r="J141" s="75"/>
      <c r="K141" s="35">
        <f>'1.02.'!M141</f>
        <v>0</v>
      </c>
      <c r="L141" s="71"/>
      <c r="M141" s="93">
        <f t="shared" si="62"/>
        <v>0</v>
      </c>
      <c r="N141" s="93">
        <f>I141-M141</f>
        <v>0</v>
      </c>
      <c r="O141" s="70"/>
      <c r="P141" s="71">
        <f t="shared" si="70"/>
        <v>0</v>
      </c>
      <c r="Q141" s="35">
        <f t="shared" si="71"/>
        <v>0</v>
      </c>
      <c r="R141" s="72">
        <v>1103712</v>
      </c>
      <c r="S141" s="72">
        <f t="shared" si="72"/>
        <v>0</v>
      </c>
    </row>
    <row r="142" spans="1:20" s="73" customFormat="1">
      <c r="A142" s="8"/>
      <c r="B142" s="8" t="s">
        <v>14</v>
      </c>
      <c r="C142" s="8"/>
      <c r="D142" s="21"/>
      <c r="E142" s="21"/>
      <c r="F142" s="139" t="s">
        <v>120</v>
      </c>
      <c r="G142" s="59">
        <f>G143+G163</f>
        <v>316128</v>
      </c>
      <c r="H142" s="59">
        <f t="shared" ref="H142:N142" si="74">H143+H163</f>
        <v>67937</v>
      </c>
      <c r="I142" s="59">
        <f t="shared" si="74"/>
        <v>47108.1</v>
      </c>
      <c r="J142" s="29">
        <f t="shared" si="74"/>
        <v>67348.212469999999</v>
      </c>
      <c r="K142" s="35">
        <f>'1.02.'!M142</f>
        <v>18632.26413</v>
      </c>
      <c r="L142" s="29">
        <f t="shared" si="74"/>
        <v>28331.425070000001</v>
      </c>
      <c r="M142" s="29">
        <f t="shared" si="74"/>
        <v>46963.689199999993</v>
      </c>
      <c r="N142" s="29">
        <f t="shared" si="74"/>
        <v>144.41079999999994</v>
      </c>
      <c r="O142" s="68">
        <f t="shared" si="54"/>
        <v>99.693448048212502</v>
      </c>
      <c r="P142" s="71">
        <f t="shared" si="70"/>
        <v>20384.523270000005</v>
      </c>
      <c r="Q142" s="35">
        <f t="shared" si="71"/>
        <v>588.78753000000142</v>
      </c>
      <c r="R142" s="72">
        <v>1103713</v>
      </c>
      <c r="S142" s="72">
        <f t="shared" si="72"/>
        <v>269164.31079999998</v>
      </c>
      <c r="T142" s="62">
        <f t="shared" ref="T142:T220" si="75">G142-J142</f>
        <v>248779.78753</v>
      </c>
    </row>
    <row r="143" spans="1:20" ht="38.25">
      <c r="A143" s="8"/>
      <c r="B143" s="8"/>
      <c r="C143" s="17" t="s">
        <v>38</v>
      </c>
      <c r="D143" s="17"/>
      <c r="E143" s="21"/>
      <c r="F143" s="139" t="s">
        <v>121</v>
      </c>
      <c r="G143" s="42">
        <f>G144</f>
        <v>316128</v>
      </c>
      <c r="H143" s="42">
        <f t="shared" ref="H143:N143" si="76">H144</f>
        <v>67937</v>
      </c>
      <c r="I143" s="42">
        <f t="shared" si="76"/>
        <v>47108.1</v>
      </c>
      <c r="J143" s="29">
        <f t="shared" si="76"/>
        <v>67348.212469999999</v>
      </c>
      <c r="K143" s="29">
        <f>'1.02.'!M143</f>
        <v>18632.26413</v>
      </c>
      <c r="L143" s="29">
        <f t="shared" si="76"/>
        <v>28331.425070000001</v>
      </c>
      <c r="M143" s="42">
        <f t="shared" si="76"/>
        <v>46963.689199999993</v>
      </c>
      <c r="N143" s="29">
        <f t="shared" si="76"/>
        <v>144.41079999999994</v>
      </c>
      <c r="O143" s="68">
        <f t="shared" si="54"/>
        <v>99.693448048212502</v>
      </c>
      <c r="P143" s="71">
        <f t="shared" si="70"/>
        <v>20384.523270000005</v>
      </c>
      <c r="Q143" s="35">
        <f t="shared" si="71"/>
        <v>588.78753000000142</v>
      </c>
      <c r="R143" s="72">
        <v>1103714</v>
      </c>
      <c r="S143" s="72">
        <f t="shared" si="72"/>
        <v>269164.31079999998</v>
      </c>
      <c r="T143" s="62">
        <f t="shared" si="75"/>
        <v>248779.78753</v>
      </c>
    </row>
    <row r="144" spans="1:20">
      <c r="A144" s="8"/>
      <c r="B144" s="8"/>
      <c r="C144" s="17"/>
      <c r="D144" s="17" t="s">
        <v>7</v>
      </c>
      <c r="E144" s="10"/>
      <c r="F144" s="140" t="s">
        <v>85</v>
      </c>
      <c r="G144" s="40">
        <f>SUM(G145:G162)</f>
        <v>316128</v>
      </c>
      <c r="H144" s="40">
        <f>SUM(H145:H162)</f>
        <v>67937</v>
      </c>
      <c r="I144" s="40">
        <f>SUM(I145:I162)</f>
        <v>47108.1</v>
      </c>
      <c r="J144" s="24">
        <f t="shared" ref="J144:M144" si="77">SUM(J145:J162)</f>
        <v>67348.212469999999</v>
      </c>
      <c r="K144" s="35">
        <f>'1.02.'!M144</f>
        <v>18632.26413</v>
      </c>
      <c r="L144" s="24">
        <f>SUM(L145:L162)</f>
        <v>28331.425070000001</v>
      </c>
      <c r="M144" s="24">
        <f t="shared" si="77"/>
        <v>46963.689199999993</v>
      </c>
      <c r="N144" s="24">
        <f>SUM(N145:N162)</f>
        <v>144.41079999999994</v>
      </c>
      <c r="O144" s="66">
        <f t="shared" si="54"/>
        <v>99.693448048212502</v>
      </c>
      <c r="P144" s="71">
        <f t="shared" si="70"/>
        <v>20384.523270000005</v>
      </c>
      <c r="Q144" s="35">
        <f t="shared" si="71"/>
        <v>588.78753000000142</v>
      </c>
      <c r="R144" s="72">
        <v>1103715</v>
      </c>
      <c r="S144" s="72">
        <f t="shared" si="72"/>
        <v>269164.31079999998</v>
      </c>
      <c r="T144" s="62">
        <f t="shared" si="75"/>
        <v>248779.78753</v>
      </c>
    </row>
    <row r="145" spans="1:20">
      <c r="A145" s="8"/>
      <c r="B145" s="9"/>
      <c r="C145" s="9"/>
      <c r="D145" s="69"/>
      <c r="E145" s="69">
        <v>111</v>
      </c>
      <c r="F145" s="136" t="s">
        <v>86</v>
      </c>
      <c r="G145" s="26">
        <v>216606</v>
      </c>
      <c r="H145" s="26">
        <v>34000</v>
      </c>
      <c r="I145" s="26">
        <v>34000</v>
      </c>
      <c r="J145" s="105">
        <f>M145</f>
        <v>34000</v>
      </c>
      <c r="K145" s="35">
        <f>'1.02.'!M145</f>
        <v>16000</v>
      </c>
      <c r="L145" s="27">
        <v>18000</v>
      </c>
      <c r="M145" s="92">
        <f t="shared" si="62"/>
        <v>34000</v>
      </c>
      <c r="N145" s="93">
        <f t="shared" si="63"/>
        <v>0</v>
      </c>
      <c r="O145" s="70">
        <f t="shared" si="54"/>
        <v>100</v>
      </c>
      <c r="P145" s="71">
        <f t="shared" si="70"/>
        <v>0</v>
      </c>
      <c r="Q145" s="35">
        <f t="shared" si="71"/>
        <v>0</v>
      </c>
      <c r="R145" s="72">
        <v>1103716</v>
      </c>
      <c r="S145" s="72">
        <f t="shared" si="72"/>
        <v>182606</v>
      </c>
      <c r="T145" s="62">
        <f t="shared" si="75"/>
        <v>182606</v>
      </c>
    </row>
    <row r="146" spans="1:20">
      <c r="A146" s="8"/>
      <c r="B146" s="9"/>
      <c r="C146" s="9"/>
      <c r="D146" s="69"/>
      <c r="E146" s="69">
        <v>112</v>
      </c>
      <c r="F146" s="136" t="s">
        <v>87</v>
      </c>
      <c r="G146" s="26"/>
      <c r="H146" s="26"/>
      <c r="I146" s="26"/>
      <c r="J146" s="105">
        <f t="shared" ref="J146:J157" si="78">M146</f>
        <v>0</v>
      </c>
      <c r="K146" s="35">
        <f>'1.02.'!M146</f>
        <v>0</v>
      </c>
      <c r="L146" s="27"/>
      <c r="M146" s="92">
        <f t="shared" si="62"/>
        <v>0</v>
      </c>
      <c r="N146" s="93">
        <f t="shared" si="63"/>
        <v>0</v>
      </c>
      <c r="O146" s="70" t="e">
        <f t="shared" si="54"/>
        <v>#DIV/0!</v>
      </c>
      <c r="P146" s="71">
        <f t="shared" si="70"/>
        <v>0</v>
      </c>
      <c r="Q146" s="35">
        <f t="shared" si="71"/>
        <v>0</v>
      </c>
      <c r="R146" s="72">
        <v>1103717</v>
      </c>
      <c r="S146" s="72">
        <f t="shared" si="72"/>
        <v>0</v>
      </c>
    </row>
    <row r="147" spans="1:20">
      <c r="A147" s="8"/>
      <c r="B147" s="9"/>
      <c r="C147" s="9"/>
      <c r="D147" s="69"/>
      <c r="E147" s="76">
        <v>113</v>
      </c>
      <c r="F147" s="136" t="s">
        <v>88</v>
      </c>
      <c r="G147" s="26">
        <v>8519</v>
      </c>
      <c r="H147" s="26">
        <v>400</v>
      </c>
      <c r="I147" s="26">
        <v>400</v>
      </c>
      <c r="J147" s="105">
        <f t="shared" si="78"/>
        <v>400</v>
      </c>
      <c r="K147" s="35">
        <f>'1.02.'!M147</f>
        <v>0</v>
      </c>
      <c r="L147" s="27">
        <v>400</v>
      </c>
      <c r="M147" s="92">
        <f t="shared" si="62"/>
        <v>400</v>
      </c>
      <c r="N147" s="93">
        <f t="shared" si="63"/>
        <v>0</v>
      </c>
      <c r="O147" s="70">
        <f t="shared" si="54"/>
        <v>100</v>
      </c>
      <c r="P147" s="71">
        <f t="shared" si="70"/>
        <v>0</v>
      </c>
      <c r="Q147" s="35">
        <f t="shared" si="71"/>
        <v>0</v>
      </c>
      <c r="R147" s="72">
        <v>1103718</v>
      </c>
      <c r="S147" s="72">
        <f t="shared" si="72"/>
        <v>8119</v>
      </c>
      <c r="T147" s="62">
        <f t="shared" si="75"/>
        <v>8119</v>
      </c>
    </row>
    <row r="148" spans="1:20">
      <c r="A148" s="8"/>
      <c r="B148" s="9"/>
      <c r="C148" s="9"/>
      <c r="D148" s="69"/>
      <c r="E148" s="69">
        <v>116</v>
      </c>
      <c r="F148" s="136" t="s">
        <v>89</v>
      </c>
      <c r="G148" s="26">
        <v>2134</v>
      </c>
      <c r="H148" s="26">
        <v>340</v>
      </c>
      <c r="I148" s="26">
        <v>340</v>
      </c>
      <c r="J148" s="105">
        <f t="shared" si="78"/>
        <v>340</v>
      </c>
      <c r="K148" s="35">
        <f>'1.02.'!M148</f>
        <v>170</v>
      </c>
      <c r="L148" s="27">
        <v>170</v>
      </c>
      <c r="M148" s="92">
        <f>K148+L148</f>
        <v>340</v>
      </c>
      <c r="N148" s="93">
        <f>I148-M148</f>
        <v>0</v>
      </c>
      <c r="O148" s="70">
        <f>M148/I148*100</f>
        <v>100</v>
      </c>
      <c r="P148" s="71">
        <f t="shared" si="70"/>
        <v>0</v>
      </c>
      <c r="Q148" s="35">
        <f t="shared" si="71"/>
        <v>0</v>
      </c>
      <c r="R148" s="72">
        <v>1103719</v>
      </c>
      <c r="S148" s="72">
        <f t="shared" si="72"/>
        <v>1794</v>
      </c>
    </row>
    <row r="149" spans="1:20">
      <c r="A149" s="8"/>
      <c r="B149" s="9"/>
      <c r="C149" s="9"/>
      <c r="D149" s="69"/>
      <c r="E149" s="69">
        <v>121</v>
      </c>
      <c r="F149" s="136" t="s">
        <v>90</v>
      </c>
      <c r="G149" s="26">
        <v>11697</v>
      </c>
      <c r="H149" s="26">
        <v>1930</v>
      </c>
      <c r="I149" s="26">
        <v>1930</v>
      </c>
      <c r="J149" s="105">
        <f t="shared" si="78"/>
        <v>1930</v>
      </c>
      <c r="K149" s="35">
        <f>'1.02.'!M149</f>
        <v>950</v>
      </c>
      <c r="L149" s="27">
        <v>980</v>
      </c>
      <c r="M149" s="92">
        <f t="shared" si="62"/>
        <v>1930</v>
      </c>
      <c r="N149" s="93">
        <f t="shared" si="63"/>
        <v>0</v>
      </c>
      <c r="O149" s="70">
        <f t="shared" ref="O149:O216" si="79">M149/I149*100</f>
        <v>100</v>
      </c>
      <c r="P149" s="71">
        <f t="shared" si="70"/>
        <v>0</v>
      </c>
      <c r="Q149" s="35">
        <f t="shared" si="71"/>
        <v>0</v>
      </c>
      <c r="R149" s="72">
        <v>1103720</v>
      </c>
      <c r="S149" s="72">
        <f t="shared" si="72"/>
        <v>9767</v>
      </c>
      <c r="T149" s="62">
        <f t="shared" si="75"/>
        <v>9767</v>
      </c>
    </row>
    <row r="150" spans="1:20" ht="25.5">
      <c r="A150" s="8"/>
      <c r="B150" s="9"/>
      <c r="C150" s="9"/>
      <c r="D150" s="69"/>
      <c r="E150" s="69">
        <v>122</v>
      </c>
      <c r="F150" s="136" t="s">
        <v>91</v>
      </c>
      <c r="G150" s="26">
        <v>9747</v>
      </c>
      <c r="H150" s="26">
        <v>1530</v>
      </c>
      <c r="I150" s="26">
        <v>1530</v>
      </c>
      <c r="J150" s="105">
        <f t="shared" si="78"/>
        <v>1385.789</v>
      </c>
      <c r="K150" s="35">
        <f>'1.02.'!M150</f>
        <v>720</v>
      </c>
      <c r="L150" s="27">
        <v>665.78899999999999</v>
      </c>
      <c r="M150" s="92">
        <f t="shared" si="62"/>
        <v>1385.789</v>
      </c>
      <c r="N150" s="155">
        <f t="shared" si="63"/>
        <v>144.21100000000001</v>
      </c>
      <c r="O150" s="70">
        <f t="shared" si="79"/>
        <v>90.574444444444453</v>
      </c>
      <c r="P150" s="71">
        <f t="shared" si="70"/>
        <v>0</v>
      </c>
      <c r="Q150" s="35">
        <f t="shared" si="71"/>
        <v>144.21100000000001</v>
      </c>
      <c r="R150" s="72">
        <v>1103721</v>
      </c>
      <c r="S150" s="72">
        <f t="shared" si="72"/>
        <v>8361.2109999999993</v>
      </c>
      <c r="T150" s="62">
        <f t="shared" si="75"/>
        <v>8361.2109999999993</v>
      </c>
    </row>
    <row r="151" spans="1:20">
      <c r="A151" s="8"/>
      <c r="B151" s="9"/>
      <c r="C151" s="9"/>
      <c r="D151" s="69"/>
      <c r="E151" s="69">
        <v>123</v>
      </c>
      <c r="F151" s="136" t="s">
        <v>92</v>
      </c>
      <c r="G151" s="26">
        <v>235</v>
      </c>
      <c r="H151" s="26"/>
      <c r="I151" s="26"/>
      <c r="J151" s="105">
        <f t="shared" si="78"/>
        <v>0</v>
      </c>
      <c r="K151" s="35">
        <f>'1.02.'!M151</f>
        <v>0</v>
      </c>
      <c r="L151" s="27"/>
      <c r="M151" s="92">
        <f t="shared" si="62"/>
        <v>0</v>
      </c>
      <c r="N151" s="93">
        <f t="shared" si="63"/>
        <v>0</v>
      </c>
      <c r="O151" s="70" t="e">
        <f t="shared" si="79"/>
        <v>#DIV/0!</v>
      </c>
      <c r="P151" s="71">
        <f t="shared" si="70"/>
        <v>0</v>
      </c>
      <c r="Q151" s="35">
        <f t="shared" si="71"/>
        <v>0</v>
      </c>
      <c r="R151" s="72">
        <v>1103722</v>
      </c>
      <c r="S151" s="72">
        <f t="shared" si="72"/>
        <v>235</v>
      </c>
      <c r="T151" s="62">
        <f t="shared" si="75"/>
        <v>235</v>
      </c>
    </row>
    <row r="152" spans="1:20">
      <c r="A152" s="9"/>
      <c r="B152" s="9"/>
      <c r="C152" s="9"/>
      <c r="D152" s="69"/>
      <c r="E152" s="69">
        <v>124</v>
      </c>
      <c r="F152" s="136" t="s">
        <v>93</v>
      </c>
      <c r="G152" s="26">
        <v>6378</v>
      </c>
      <c r="H152" s="26">
        <v>900</v>
      </c>
      <c r="I152" s="26">
        <v>900</v>
      </c>
      <c r="J152" s="105">
        <f t="shared" si="78"/>
        <v>900</v>
      </c>
      <c r="K152" s="35">
        <f>'1.02.'!M152</f>
        <v>450</v>
      </c>
      <c r="L152" s="27">
        <v>450</v>
      </c>
      <c r="M152" s="92">
        <f t="shared" si="62"/>
        <v>900</v>
      </c>
      <c r="N152" s="93">
        <f t="shared" si="63"/>
        <v>0</v>
      </c>
      <c r="O152" s="70">
        <f t="shared" si="79"/>
        <v>100</v>
      </c>
      <c r="P152" s="71">
        <f t="shared" si="70"/>
        <v>0</v>
      </c>
      <c r="Q152" s="35">
        <f t="shared" si="71"/>
        <v>0</v>
      </c>
      <c r="R152" s="72">
        <v>1103723</v>
      </c>
      <c r="S152" s="72">
        <f t="shared" si="72"/>
        <v>5478</v>
      </c>
      <c r="T152" s="62">
        <f t="shared" si="75"/>
        <v>5478</v>
      </c>
    </row>
    <row r="153" spans="1:20" s="73" customFormat="1">
      <c r="A153" s="9"/>
      <c r="B153" s="9"/>
      <c r="C153" s="9"/>
      <c r="D153" s="69"/>
      <c r="E153" s="69">
        <v>141</v>
      </c>
      <c r="F153" s="136" t="s">
        <v>116</v>
      </c>
      <c r="G153" s="26">
        <v>20147</v>
      </c>
      <c r="H153" s="26">
        <v>18580</v>
      </c>
      <c r="I153" s="26">
        <v>3600</v>
      </c>
      <c r="J153" s="105">
        <v>18579.949199999999</v>
      </c>
      <c r="K153" s="35">
        <f>'1.02.'!M153</f>
        <v>0</v>
      </c>
      <c r="L153" s="27">
        <v>3600</v>
      </c>
      <c r="M153" s="92">
        <f t="shared" si="62"/>
        <v>3600</v>
      </c>
      <c r="N153" s="93">
        <f t="shared" si="63"/>
        <v>0</v>
      </c>
      <c r="O153" s="70">
        <f t="shared" si="79"/>
        <v>100</v>
      </c>
      <c r="P153" s="71">
        <f t="shared" si="70"/>
        <v>14979.949199999999</v>
      </c>
      <c r="Q153" s="35">
        <f t="shared" si="71"/>
        <v>5.0800000000890577E-2</v>
      </c>
      <c r="R153" s="72">
        <v>1103724</v>
      </c>
      <c r="S153" s="72">
        <f t="shared" si="72"/>
        <v>16547</v>
      </c>
      <c r="T153" s="62">
        <f t="shared" si="75"/>
        <v>1567.0508000000009</v>
      </c>
    </row>
    <row r="154" spans="1:20" ht="25.5">
      <c r="A154" s="9"/>
      <c r="B154" s="9"/>
      <c r="C154" s="9"/>
      <c r="D154" s="69"/>
      <c r="E154" s="69">
        <v>142</v>
      </c>
      <c r="F154" s="136" t="s">
        <v>122</v>
      </c>
      <c r="G154" s="26">
        <v>2651</v>
      </c>
      <c r="H154" s="26"/>
      <c r="I154" s="26"/>
      <c r="J154" s="105">
        <f t="shared" si="78"/>
        <v>0</v>
      </c>
      <c r="K154" s="35">
        <f>'1.02.'!M154</f>
        <v>0</v>
      </c>
      <c r="L154" s="27"/>
      <c r="M154" s="92">
        <f t="shared" si="62"/>
        <v>0</v>
      </c>
      <c r="N154" s="93">
        <f t="shared" si="63"/>
        <v>0</v>
      </c>
      <c r="O154" s="70" t="e">
        <f t="shared" si="79"/>
        <v>#DIV/0!</v>
      </c>
      <c r="P154" s="71">
        <f t="shared" si="70"/>
        <v>0</v>
      </c>
      <c r="Q154" s="35">
        <f t="shared" si="71"/>
        <v>0</v>
      </c>
      <c r="R154" s="72">
        <v>1103725</v>
      </c>
      <c r="S154" s="72">
        <f t="shared" si="72"/>
        <v>2651</v>
      </c>
      <c r="T154" s="62">
        <f t="shared" si="75"/>
        <v>2651</v>
      </c>
    </row>
    <row r="155" spans="1:20">
      <c r="A155" s="9"/>
      <c r="B155" s="9"/>
      <c r="C155" s="9"/>
      <c r="D155" s="69"/>
      <c r="E155" s="69">
        <v>144</v>
      </c>
      <c r="F155" s="136" t="s">
        <v>97</v>
      </c>
      <c r="G155" s="26">
        <v>1400</v>
      </c>
      <c r="H155" s="26">
        <v>1400</v>
      </c>
      <c r="I155" s="26">
        <v>1400</v>
      </c>
      <c r="J155" s="105">
        <v>1399.8342700000001</v>
      </c>
      <c r="K155" s="35">
        <f>'1.02.'!M155</f>
        <v>0</v>
      </c>
      <c r="L155" s="27">
        <v>1399.8342700000001</v>
      </c>
      <c r="M155" s="92">
        <f t="shared" si="62"/>
        <v>1399.8342700000001</v>
      </c>
      <c r="N155" s="93">
        <f t="shared" si="63"/>
        <v>0.16572999999993954</v>
      </c>
      <c r="O155" s="70">
        <f t="shared" si="79"/>
        <v>99.988162142857149</v>
      </c>
      <c r="P155" s="71">
        <f t="shared" si="70"/>
        <v>0</v>
      </c>
      <c r="Q155" s="35">
        <f t="shared" si="71"/>
        <v>0.16572999999993954</v>
      </c>
      <c r="R155" s="72">
        <v>1103726</v>
      </c>
      <c r="S155" s="72">
        <f t="shared" si="72"/>
        <v>0.16572999999993954</v>
      </c>
      <c r="T155" s="62">
        <f t="shared" si="75"/>
        <v>0.16572999999993954</v>
      </c>
    </row>
    <row r="156" spans="1:20">
      <c r="A156" s="9"/>
      <c r="B156" s="9"/>
      <c r="C156" s="9"/>
      <c r="D156" s="69"/>
      <c r="E156" s="69">
        <v>149</v>
      </c>
      <c r="F156" s="136" t="s">
        <v>98</v>
      </c>
      <c r="G156" s="26">
        <v>9495</v>
      </c>
      <c r="H156" s="26"/>
      <c r="I156" s="26"/>
      <c r="J156" s="105">
        <f t="shared" si="78"/>
        <v>0</v>
      </c>
      <c r="K156" s="35">
        <f>'1.02.'!M156</f>
        <v>0</v>
      </c>
      <c r="L156" s="27"/>
      <c r="M156" s="92">
        <f t="shared" si="62"/>
        <v>0</v>
      </c>
      <c r="N156" s="93">
        <f t="shared" si="63"/>
        <v>0</v>
      </c>
      <c r="O156" s="70" t="e">
        <f t="shared" si="79"/>
        <v>#DIV/0!</v>
      </c>
      <c r="P156" s="71">
        <f t="shared" si="70"/>
        <v>0</v>
      </c>
      <c r="Q156" s="35">
        <f t="shared" si="71"/>
        <v>0</v>
      </c>
      <c r="R156" s="72">
        <v>1103727</v>
      </c>
      <c r="S156" s="72">
        <f t="shared" si="72"/>
        <v>9495</v>
      </c>
      <c r="T156" s="62">
        <f t="shared" si="75"/>
        <v>9495</v>
      </c>
    </row>
    <row r="157" spans="1:20">
      <c r="A157" s="9"/>
      <c r="B157" s="9"/>
      <c r="C157" s="9"/>
      <c r="D157" s="69"/>
      <c r="E157" s="69">
        <v>151</v>
      </c>
      <c r="F157" s="136" t="s">
        <v>99</v>
      </c>
      <c r="G157" s="26">
        <v>17588</v>
      </c>
      <c r="H157" s="26">
        <v>2700</v>
      </c>
      <c r="I157" s="26">
        <v>2700</v>
      </c>
      <c r="J157" s="105">
        <f t="shared" si="78"/>
        <v>2700</v>
      </c>
      <c r="K157" s="35">
        <f>'1.02.'!M157</f>
        <v>342.26413000000002</v>
      </c>
      <c r="L157" s="27">
        <v>2357.73587</v>
      </c>
      <c r="M157" s="92">
        <f t="shared" si="62"/>
        <v>2700</v>
      </c>
      <c r="N157" s="93">
        <f t="shared" si="63"/>
        <v>0</v>
      </c>
      <c r="O157" s="70">
        <f t="shared" si="79"/>
        <v>100</v>
      </c>
      <c r="P157" s="71">
        <f t="shared" si="70"/>
        <v>0</v>
      </c>
      <c r="Q157" s="35">
        <f t="shared" si="71"/>
        <v>0</v>
      </c>
      <c r="R157" s="72">
        <v>1103728</v>
      </c>
      <c r="S157" s="72">
        <f t="shared" si="72"/>
        <v>14888</v>
      </c>
      <c r="T157" s="62">
        <f t="shared" si="75"/>
        <v>14888</v>
      </c>
    </row>
    <row r="158" spans="1:20">
      <c r="A158" s="9"/>
      <c r="B158" s="9"/>
      <c r="C158" s="9"/>
      <c r="D158" s="69"/>
      <c r="E158" s="69">
        <v>152</v>
      </c>
      <c r="F158" s="136" t="s">
        <v>100</v>
      </c>
      <c r="G158" s="26">
        <v>1401</v>
      </c>
      <c r="H158" s="26">
        <v>1401</v>
      </c>
      <c r="I158" s="26">
        <v>102.1</v>
      </c>
      <c r="J158" s="105">
        <v>956.68</v>
      </c>
      <c r="K158" s="35">
        <f>'1.02.'!M158</f>
        <v>0</v>
      </c>
      <c r="L158" s="27">
        <v>102.06592999999999</v>
      </c>
      <c r="M158" s="92">
        <f t="shared" si="62"/>
        <v>102.06592999999999</v>
      </c>
      <c r="N158" s="93">
        <f t="shared" si="63"/>
        <v>3.4069999999999823E-2</v>
      </c>
      <c r="O158" s="70">
        <f t="shared" si="79"/>
        <v>99.966630754162594</v>
      </c>
      <c r="P158" s="71">
        <f t="shared" si="70"/>
        <v>854.61406999999997</v>
      </c>
      <c r="Q158" s="35">
        <f t="shared" si="71"/>
        <v>444.32000000000005</v>
      </c>
      <c r="R158" s="72">
        <v>1103729</v>
      </c>
      <c r="S158" s="72">
        <f t="shared" si="72"/>
        <v>1298.93407</v>
      </c>
      <c r="T158" s="62">
        <f t="shared" si="75"/>
        <v>444.32000000000005</v>
      </c>
    </row>
    <row r="159" spans="1:20" ht="25.5">
      <c r="A159" s="9"/>
      <c r="B159" s="9"/>
      <c r="C159" s="9"/>
      <c r="D159" s="69"/>
      <c r="E159" s="69">
        <v>158</v>
      </c>
      <c r="F159" s="136" t="s">
        <v>101</v>
      </c>
      <c r="G159" s="26">
        <f>730+1099.4</f>
        <v>1829.4</v>
      </c>
      <c r="H159" s="26">
        <v>1829.4</v>
      </c>
      <c r="I159" s="26">
        <v>206</v>
      </c>
      <c r="J159" s="105">
        <v>1829.36</v>
      </c>
      <c r="K159" s="35">
        <f>'1.02.'!M159</f>
        <v>0</v>
      </c>
      <c r="L159" s="27">
        <v>206</v>
      </c>
      <c r="M159" s="92">
        <f t="shared" si="62"/>
        <v>206</v>
      </c>
      <c r="N159" s="93">
        <f t="shared" si="63"/>
        <v>0</v>
      </c>
      <c r="O159" s="70">
        <f t="shared" si="79"/>
        <v>100</v>
      </c>
      <c r="P159" s="71">
        <f t="shared" si="70"/>
        <v>1623.36</v>
      </c>
      <c r="Q159" s="35">
        <f t="shared" si="71"/>
        <v>4.0000000000190994E-2</v>
      </c>
      <c r="R159" s="72">
        <v>1103730</v>
      </c>
      <c r="S159" s="72">
        <f t="shared" si="72"/>
        <v>1623.4</v>
      </c>
      <c r="T159" s="62">
        <f t="shared" si="75"/>
        <v>4.0000000000190994E-2</v>
      </c>
    </row>
    <row r="160" spans="1:20">
      <c r="A160" s="9"/>
      <c r="B160" s="9"/>
      <c r="C160" s="9"/>
      <c r="D160" s="69"/>
      <c r="E160" s="69">
        <v>159</v>
      </c>
      <c r="F160" s="136" t="s">
        <v>84</v>
      </c>
      <c r="G160" s="26">
        <f>6564-1099.4</f>
        <v>5464.6</v>
      </c>
      <c r="H160" s="26">
        <v>2926.6</v>
      </c>
      <c r="I160" s="26"/>
      <c r="J160" s="105">
        <v>2926.6</v>
      </c>
      <c r="K160" s="35">
        <f>'1.02.'!M160</f>
        <v>0</v>
      </c>
      <c r="L160" s="27"/>
      <c r="M160" s="92">
        <f t="shared" si="62"/>
        <v>0</v>
      </c>
      <c r="N160" s="93">
        <f t="shared" si="63"/>
        <v>0</v>
      </c>
      <c r="O160" s="70" t="e">
        <f t="shared" si="79"/>
        <v>#DIV/0!</v>
      </c>
      <c r="P160" s="71">
        <f t="shared" si="70"/>
        <v>2926.6</v>
      </c>
      <c r="Q160" s="35">
        <f t="shared" si="71"/>
        <v>0</v>
      </c>
      <c r="R160" s="72">
        <v>1103731</v>
      </c>
      <c r="S160" s="72">
        <f t="shared" si="72"/>
        <v>5464.6</v>
      </c>
      <c r="T160" s="62">
        <f t="shared" si="75"/>
        <v>2538.0000000000005</v>
      </c>
    </row>
    <row r="161" spans="1:20">
      <c r="A161" s="9"/>
      <c r="B161" s="9"/>
      <c r="C161" s="9"/>
      <c r="D161" s="69"/>
      <c r="E161" s="69">
        <v>161</v>
      </c>
      <c r="F161" s="136" t="s">
        <v>102</v>
      </c>
      <c r="G161" s="26">
        <v>816</v>
      </c>
      <c r="H161" s="26"/>
      <c r="I161" s="26"/>
      <c r="J161" s="105">
        <f t="shared" ref="J161:J162" si="80">M161</f>
        <v>0</v>
      </c>
      <c r="K161" s="35">
        <f>'1.02.'!M161</f>
        <v>0</v>
      </c>
      <c r="L161" s="27"/>
      <c r="M161" s="92">
        <f t="shared" si="62"/>
        <v>0</v>
      </c>
      <c r="N161" s="93">
        <f t="shared" si="63"/>
        <v>0</v>
      </c>
      <c r="O161" s="70" t="e">
        <f t="shared" si="79"/>
        <v>#DIV/0!</v>
      </c>
      <c r="P161" s="71">
        <f t="shared" si="70"/>
        <v>0</v>
      </c>
      <c r="Q161" s="35">
        <f t="shared" si="71"/>
        <v>0</v>
      </c>
      <c r="R161" s="72">
        <v>1103732</v>
      </c>
      <c r="S161" s="72">
        <f t="shared" si="72"/>
        <v>816</v>
      </c>
      <c r="T161" s="62">
        <f t="shared" si="75"/>
        <v>816</v>
      </c>
    </row>
    <row r="162" spans="1:20">
      <c r="A162" s="9"/>
      <c r="B162" s="9"/>
      <c r="C162" s="9"/>
      <c r="D162" s="69"/>
      <c r="E162" s="69">
        <v>169</v>
      </c>
      <c r="F162" s="136" t="s">
        <v>103</v>
      </c>
      <c r="G162" s="26">
        <v>20</v>
      </c>
      <c r="H162" s="26"/>
      <c r="I162" s="26"/>
      <c r="J162" s="105">
        <f t="shared" si="80"/>
        <v>0</v>
      </c>
      <c r="K162" s="35">
        <f>'1.02.'!M162</f>
        <v>0</v>
      </c>
      <c r="L162" s="27"/>
      <c r="M162" s="92">
        <f>K162+L162</f>
        <v>0</v>
      </c>
      <c r="N162" s="93">
        <f t="shared" si="63"/>
        <v>0</v>
      </c>
      <c r="O162" s="70" t="e">
        <f t="shared" si="79"/>
        <v>#DIV/0!</v>
      </c>
      <c r="P162" s="71">
        <f t="shared" si="70"/>
        <v>0</v>
      </c>
      <c r="Q162" s="35">
        <f t="shared" si="71"/>
        <v>0</v>
      </c>
      <c r="R162" s="72">
        <v>1103733</v>
      </c>
      <c r="S162" s="72">
        <f t="shared" si="72"/>
        <v>20</v>
      </c>
      <c r="T162" s="62">
        <f t="shared" si="75"/>
        <v>20</v>
      </c>
    </row>
    <row r="163" spans="1:20" ht="25.5" hidden="1">
      <c r="A163" s="100"/>
      <c r="B163" s="15"/>
      <c r="C163" s="57" t="s">
        <v>43</v>
      </c>
      <c r="D163" s="16"/>
      <c r="E163" s="20"/>
      <c r="F163" s="3" t="s">
        <v>44</v>
      </c>
      <c r="G163" s="59">
        <f t="shared" ref="G163:N163" si="81">G164</f>
        <v>0</v>
      </c>
      <c r="H163" s="59">
        <f t="shared" si="81"/>
        <v>0</v>
      </c>
      <c r="I163" s="59">
        <f t="shared" si="81"/>
        <v>0</v>
      </c>
      <c r="J163" s="29">
        <f t="shared" si="81"/>
        <v>0</v>
      </c>
      <c r="K163" s="35">
        <f>'1.02.'!M163</f>
        <v>0</v>
      </c>
      <c r="L163" s="59">
        <f t="shared" si="81"/>
        <v>0</v>
      </c>
      <c r="M163" s="29">
        <f t="shared" si="81"/>
        <v>0</v>
      </c>
      <c r="N163" s="29">
        <f t="shared" si="81"/>
        <v>0</v>
      </c>
      <c r="O163" s="70"/>
      <c r="P163" s="71">
        <f t="shared" si="70"/>
        <v>0</v>
      </c>
      <c r="Q163" s="35">
        <f t="shared" si="71"/>
        <v>0</v>
      </c>
      <c r="R163" s="72">
        <v>1103734</v>
      </c>
      <c r="S163" s="72">
        <f t="shared" si="72"/>
        <v>0</v>
      </c>
    </row>
    <row r="164" spans="1:20" hidden="1">
      <c r="A164" s="9"/>
      <c r="B164" s="12"/>
      <c r="C164" s="12"/>
      <c r="D164" s="11" t="s">
        <v>7</v>
      </c>
      <c r="E164" s="97"/>
      <c r="F164" s="4" t="s">
        <v>22</v>
      </c>
      <c r="G164" s="98">
        <f>G165+G166+G167</f>
        <v>0</v>
      </c>
      <c r="H164" s="98">
        <f t="shared" ref="H164:M164" si="82">H165+H166+H167</f>
        <v>0</v>
      </c>
      <c r="I164" s="98">
        <f t="shared" si="82"/>
        <v>0</v>
      </c>
      <c r="J164" s="32">
        <f t="shared" si="82"/>
        <v>0</v>
      </c>
      <c r="K164" s="35">
        <f>'1.02.'!M164</f>
        <v>0</v>
      </c>
      <c r="L164" s="98">
        <f t="shared" si="82"/>
        <v>0</v>
      </c>
      <c r="M164" s="98">
        <f t="shared" si="82"/>
        <v>0</v>
      </c>
      <c r="N164" s="99">
        <f>N165+N166+N167</f>
        <v>0</v>
      </c>
      <c r="O164" s="68" t="e">
        <f>M164/I164*100</f>
        <v>#DIV/0!</v>
      </c>
      <c r="P164" s="71">
        <f t="shared" si="70"/>
        <v>0</v>
      </c>
      <c r="Q164" s="35">
        <f t="shared" si="71"/>
        <v>0</v>
      </c>
      <c r="R164" s="72">
        <v>1103735</v>
      </c>
      <c r="S164" s="72">
        <f t="shared" si="72"/>
        <v>0</v>
      </c>
      <c r="T164" s="62">
        <f>G164-J164</f>
        <v>0</v>
      </c>
    </row>
    <row r="165" spans="1:20" hidden="1">
      <c r="A165" s="9"/>
      <c r="B165" s="13"/>
      <c r="C165" s="13"/>
      <c r="D165" s="14"/>
      <c r="E165" s="20">
        <v>413</v>
      </c>
      <c r="F165" s="106" t="s">
        <v>56</v>
      </c>
      <c r="G165" s="34"/>
      <c r="H165" s="34"/>
      <c r="I165" s="34"/>
      <c r="J165" s="107">
        <f>M165</f>
        <v>0</v>
      </c>
      <c r="K165" s="35">
        <f>'1.02.'!M165</f>
        <v>0</v>
      </c>
      <c r="L165" s="34"/>
      <c r="M165" s="92">
        <f t="shared" ref="M165:M167" si="83">K165+L165</f>
        <v>0</v>
      </c>
      <c r="N165" s="93">
        <f t="shared" ref="N165:N167" si="84">I165-M165</f>
        <v>0</v>
      </c>
      <c r="O165" s="70"/>
      <c r="P165" s="71">
        <f t="shared" si="70"/>
        <v>0</v>
      </c>
      <c r="Q165" s="35">
        <f t="shared" si="71"/>
        <v>0</v>
      </c>
      <c r="R165" s="72">
        <v>1103736</v>
      </c>
      <c r="S165" s="72">
        <f t="shared" si="72"/>
        <v>0</v>
      </c>
    </row>
    <row r="166" spans="1:20" ht="25.5" hidden="1">
      <c r="A166" s="9"/>
      <c r="B166" s="13"/>
      <c r="C166" s="13"/>
      <c r="D166" s="14"/>
      <c r="E166" s="20">
        <v>414</v>
      </c>
      <c r="F166" s="86" t="s">
        <v>64</v>
      </c>
      <c r="G166" s="37"/>
      <c r="H166" s="37"/>
      <c r="I166" s="37"/>
      <c r="J166" s="107">
        <f t="shared" ref="J166:J167" si="85">M166</f>
        <v>0</v>
      </c>
      <c r="K166" s="35">
        <f>'1.02.'!M166</f>
        <v>0</v>
      </c>
      <c r="L166" s="37"/>
      <c r="M166" s="92">
        <f t="shared" si="83"/>
        <v>0</v>
      </c>
      <c r="N166" s="93">
        <f t="shared" si="84"/>
        <v>0</v>
      </c>
      <c r="O166" s="70"/>
      <c r="P166" s="71">
        <f t="shared" si="70"/>
        <v>0</v>
      </c>
      <c r="Q166" s="35">
        <f t="shared" si="71"/>
        <v>0</v>
      </c>
      <c r="R166" s="72">
        <v>1103737</v>
      </c>
      <c r="S166" s="72">
        <f t="shared" si="72"/>
        <v>0</v>
      </c>
    </row>
    <row r="167" spans="1:20" ht="25.5" hidden="1">
      <c r="A167" s="100"/>
      <c r="B167" s="15"/>
      <c r="C167" s="15"/>
      <c r="D167" s="16"/>
      <c r="E167" s="20">
        <v>421</v>
      </c>
      <c r="F167" s="3" t="s">
        <v>60</v>
      </c>
      <c r="G167" s="37"/>
      <c r="H167" s="37"/>
      <c r="I167" s="37"/>
      <c r="J167" s="107">
        <f t="shared" si="85"/>
        <v>0</v>
      </c>
      <c r="K167" s="35">
        <f>'1.02.'!M167</f>
        <v>0</v>
      </c>
      <c r="L167" s="35"/>
      <c r="M167" s="92">
        <f t="shared" si="83"/>
        <v>0</v>
      </c>
      <c r="N167" s="93">
        <f t="shared" si="84"/>
        <v>0</v>
      </c>
      <c r="O167" s="70" t="e">
        <f t="shared" ref="O167" si="86">M167/I167*100</f>
        <v>#DIV/0!</v>
      </c>
      <c r="P167" s="71">
        <f t="shared" si="70"/>
        <v>0</v>
      </c>
      <c r="Q167" s="35">
        <f t="shared" si="71"/>
        <v>0</v>
      </c>
      <c r="R167" s="72">
        <v>1103738</v>
      </c>
      <c r="S167" s="72">
        <f t="shared" si="72"/>
        <v>0</v>
      </c>
    </row>
    <row r="168" spans="1:20" s="95" customFormat="1" ht="13.5">
      <c r="A168" s="8"/>
      <c r="B168" s="57">
        <v>1265</v>
      </c>
      <c r="C168" s="12"/>
      <c r="D168" s="11"/>
      <c r="E168" s="18"/>
      <c r="F168" s="139" t="s">
        <v>123</v>
      </c>
      <c r="G168" s="42">
        <f>G169+G188</f>
        <v>1298876</v>
      </c>
      <c r="H168" s="42">
        <f t="shared" ref="H168:N168" si="87">H169+H188</f>
        <v>476892</v>
      </c>
      <c r="I168" s="42">
        <f t="shared" si="87"/>
        <v>271338</v>
      </c>
      <c r="J168" s="29">
        <f t="shared" si="87"/>
        <v>476675.55820000003</v>
      </c>
      <c r="K168" s="35">
        <f>'1.02.'!M168</f>
        <v>48654.000999999997</v>
      </c>
      <c r="L168" s="29">
        <f t="shared" si="87"/>
        <v>222467.19300000003</v>
      </c>
      <c r="M168" s="33">
        <f t="shared" si="87"/>
        <v>271121.19400000002</v>
      </c>
      <c r="N168" s="29">
        <f t="shared" si="87"/>
        <v>216.80599999998725</v>
      </c>
      <c r="O168" s="68">
        <f t="shared" si="79"/>
        <v>99.920097443041527</v>
      </c>
      <c r="P168" s="71">
        <f t="shared" si="70"/>
        <v>205554.36420000001</v>
      </c>
      <c r="Q168" s="35">
        <f t="shared" si="71"/>
        <v>216.44179999997141</v>
      </c>
      <c r="R168" s="72">
        <v>1103739</v>
      </c>
      <c r="S168" s="72">
        <f t="shared" si="72"/>
        <v>1027754.806</v>
      </c>
      <c r="T168" s="62">
        <f t="shared" si="75"/>
        <v>822200.44179999991</v>
      </c>
    </row>
    <row r="169" spans="1:20" ht="76.5">
      <c r="A169" s="8"/>
      <c r="B169" s="12"/>
      <c r="C169" s="12" t="s">
        <v>23</v>
      </c>
      <c r="D169" s="11"/>
      <c r="E169" s="18"/>
      <c r="F169" s="139" t="s">
        <v>124</v>
      </c>
      <c r="G169" s="42">
        <f>G170</f>
        <v>947947</v>
      </c>
      <c r="H169" s="42">
        <f t="shared" ref="H169:N169" si="88">H170</f>
        <v>125963</v>
      </c>
      <c r="I169" s="42">
        <f t="shared" si="88"/>
        <v>118135</v>
      </c>
      <c r="J169" s="60">
        <f t="shared" si="88"/>
        <v>125746.55820000003</v>
      </c>
      <c r="K169" s="29">
        <f>'1.02.'!M169</f>
        <v>48654.000999999997</v>
      </c>
      <c r="L169" s="42">
        <f t="shared" si="88"/>
        <v>69264.998000000007</v>
      </c>
      <c r="M169" s="33">
        <f t="shared" si="88"/>
        <v>117918.99900000001</v>
      </c>
      <c r="N169" s="29">
        <f t="shared" si="88"/>
        <v>216.00099999999424</v>
      </c>
      <c r="O169" s="66">
        <f t="shared" si="79"/>
        <v>99.817157489313075</v>
      </c>
      <c r="P169" s="71">
        <f t="shared" si="70"/>
        <v>7827.5592000000179</v>
      </c>
      <c r="Q169" s="35">
        <f t="shared" si="71"/>
        <v>216.44179999997141</v>
      </c>
      <c r="R169" s="72">
        <v>1103740</v>
      </c>
      <c r="S169" s="72">
        <f t="shared" si="72"/>
        <v>830028.00099999993</v>
      </c>
      <c r="T169" s="62">
        <f t="shared" si="75"/>
        <v>822200.44179999991</v>
      </c>
    </row>
    <row r="170" spans="1:20">
      <c r="A170" s="9"/>
      <c r="B170" s="12"/>
      <c r="C170" s="12"/>
      <c r="D170" s="11" t="s">
        <v>7</v>
      </c>
      <c r="E170" s="97"/>
      <c r="F170" s="140" t="s">
        <v>85</v>
      </c>
      <c r="G170" s="98">
        <f t="shared" ref="G170:N170" si="89">SUM(G171:G187)</f>
        <v>947947</v>
      </c>
      <c r="H170" s="98">
        <f t="shared" si="89"/>
        <v>125963</v>
      </c>
      <c r="I170" s="98">
        <f t="shared" si="89"/>
        <v>118135</v>
      </c>
      <c r="J170" s="32">
        <f>SUM(J171:J187)</f>
        <v>125746.55820000003</v>
      </c>
      <c r="K170" s="35">
        <f>'1.02.'!M170</f>
        <v>48654.000999999997</v>
      </c>
      <c r="L170" s="32">
        <f t="shared" si="89"/>
        <v>69264.998000000007</v>
      </c>
      <c r="M170" s="32">
        <f t="shared" si="89"/>
        <v>117918.99900000001</v>
      </c>
      <c r="N170" s="32">
        <f t="shared" si="89"/>
        <v>216.00099999999424</v>
      </c>
      <c r="O170" s="68">
        <f t="shared" si="79"/>
        <v>99.817157489313075</v>
      </c>
      <c r="P170" s="71">
        <f t="shared" si="70"/>
        <v>7827.5592000000179</v>
      </c>
      <c r="Q170" s="35">
        <f t="shared" si="71"/>
        <v>216.44179999997141</v>
      </c>
      <c r="R170" s="72">
        <v>1103741</v>
      </c>
      <c r="S170" s="72">
        <f t="shared" si="72"/>
        <v>830028.00099999993</v>
      </c>
      <c r="T170" s="62">
        <f t="shared" si="75"/>
        <v>822200.44179999991</v>
      </c>
    </row>
    <row r="171" spans="1:20">
      <c r="A171" s="9"/>
      <c r="B171" s="13"/>
      <c r="C171" s="13"/>
      <c r="D171" s="14"/>
      <c r="E171" s="20">
        <v>111</v>
      </c>
      <c r="F171" s="136" t="s">
        <v>86</v>
      </c>
      <c r="G171" s="37">
        <v>618499</v>
      </c>
      <c r="H171" s="37">
        <v>95000</v>
      </c>
      <c r="I171" s="37">
        <v>95000</v>
      </c>
      <c r="J171" s="75">
        <f>M171</f>
        <v>94883.706000000006</v>
      </c>
      <c r="K171" s="35">
        <f>'1.02.'!M171</f>
        <v>40000</v>
      </c>
      <c r="L171" s="35">
        <v>54883.705999999998</v>
      </c>
      <c r="M171" s="92">
        <f>K171+L171</f>
        <v>94883.706000000006</v>
      </c>
      <c r="N171" s="93">
        <f>I171-M171</f>
        <v>116.29399999999441</v>
      </c>
      <c r="O171" s="70">
        <f t="shared" si="79"/>
        <v>99.877585263157897</v>
      </c>
      <c r="P171" s="71">
        <f t="shared" si="70"/>
        <v>0</v>
      </c>
      <c r="Q171" s="35">
        <f t="shared" si="71"/>
        <v>116.29399999999441</v>
      </c>
      <c r="R171" s="72">
        <v>1103742</v>
      </c>
      <c r="S171" s="72">
        <f t="shared" si="72"/>
        <v>523615.29399999999</v>
      </c>
      <c r="T171" s="62">
        <f t="shared" si="75"/>
        <v>523615.29399999999</v>
      </c>
    </row>
    <row r="172" spans="1:20">
      <c r="A172" s="9"/>
      <c r="B172" s="13"/>
      <c r="C172" s="13"/>
      <c r="D172" s="14"/>
      <c r="E172" s="69">
        <v>112</v>
      </c>
      <c r="F172" s="136" t="s">
        <v>87</v>
      </c>
      <c r="G172" s="37"/>
      <c r="H172" s="37"/>
      <c r="I172" s="37"/>
      <c r="J172" s="75">
        <f t="shared" ref="J172:J178" si="90">M172</f>
        <v>0</v>
      </c>
      <c r="K172" s="35">
        <f>'1.02.'!M172</f>
        <v>0</v>
      </c>
      <c r="L172" s="35"/>
      <c r="M172" s="92">
        <f>K172+L172</f>
        <v>0</v>
      </c>
      <c r="N172" s="93">
        <f t="shared" ref="N172:N173" si="91">I172-M172</f>
        <v>0</v>
      </c>
      <c r="O172" s="70" t="e">
        <f t="shared" si="79"/>
        <v>#DIV/0!</v>
      </c>
      <c r="P172" s="71">
        <f t="shared" si="70"/>
        <v>0</v>
      </c>
      <c r="Q172" s="35">
        <f t="shared" si="71"/>
        <v>0</v>
      </c>
      <c r="R172" s="72">
        <v>1103743</v>
      </c>
      <c r="S172" s="72">
        <f t="shared" si="72"/>
        <v>0</v>
      </c>
    </row>
    <row r="173" spans="1:20">
      <c r="A173" s="9"/>
      <c r="B173" s="15"/>
      <c r="C173" s="15"/>
      <c r="D173" s="16"/>
      <c r="E173" s="20">
        <v>113</v>
      </c>
      <c r="F173" s="136" t="s">
        <v>88</v>
      </c>
      <c r="G173" s="37">
        <v>19771</v>
      </c>
      <c r="H173" s="37">
        <v>1449</v>
      </c>
      <c r="I173" s="37">
        <v>1449</v>
      </c>
      <c r="J173" s="75">
        <f t="shared" si="90"/>
        <v>1439.7829999999999</v>
      </c>
      <c r="K173" s="35">
        <f>'1.02.'!M173</f>
        <v>273.596</v>
      </c>
      <c r="L173" s="35">
        <v>1166.1869999999999</v>
      </c>
      <c r="M173" s="92">
        <f t="shared" si="62"/>
        <v>1439.7829999999999</v>
      </c>
      <c r="N173" s="93">
        <f t="shared" si="91"/>
        <v>9.2170000000000982</v>
      </c>
      <c r="O173" s="70">
        <f t="shared" si="79"/>
        <v>99.363906142166996</v>
      </c>
      <c r="P173" s="71">
        <f t="shared" si="70"/>
        <v>0</v>
      </c>
      <c r="Q173" s="35">
        <f t="shared" si="71"/>
        <v>9.2170000000000982</v>
      </c>
      <c r="R173" s="72">
        <v>1103744</v>
      </c>
      <c r="S173" s="72">
        <f t="shared" si="72"/>
        <v>18331.217000000001</v>
      </c>
      <c r="T173" s="62">
        <f t="shared" si="75"/>
        <v>18331.217000000001</v>
      </c>
    </row>
    <row r="174" spans="1:20">
      <c r="A174" s="9"/>
      <c r="B174" s="15"/>
      <c r="C174" s="15"/>
      <c r="D174" s="16"/>
      <c r="E174" s="69">
        <v>116</v>
      </c>
      <c r="F174" s="136" t="s">
        <v>89</v>
      </c>
      <c r="G174" s="37">
        <v>10353</v>
      </c>
      <c r="H174" s="37">
        <v>1860</v>
      </c>
      <c r="I174" s="37">
        <v>1860</v>
      </c>
      <c r="J174" s="75">
        <f t="shared" si="90"/>
        <v>1779.769</v>
      </c>
      <c r="K174" s="35">
        <f>'1.02.'!M174</f>
        <v>794.25800000000004</v>
      </c>
      <c r="L174" s="35">
        <v>985.51099999999997</v>
      </c>
      <c r="M174" s="92">
        <f>K174+L174</f>
        <v>1779.769</v>
      </c>
      <c r="N174" s="93">
        <f>I174-M174</f>
        <v>80.230999999999995</v>
      </c>
      <c r="O174" s="70">
        <f>M174/I174*100</f>
        <v>95.686505376344087</v>
      </c>
      <c r="P174" s="71">
        <f t="shared" si="70"/>
        <v>0</v>
      </c>
      <c r="Q174" s="35">
        <f t="shared" si="71"/>
        <v>80.230999999999995</v>
      </c>
      <c r="R174" s="72">
        <v>1103745</v>
      </c>
      <c r="S174" s="72">
        <f t="shared" si="72"/>
        <v>8573.2309999999998</v>
      </c>
    </row>
    <row r="175" spans="1:20">
      <c r="A175" s="9"/>
      <c r="B175" s="15"/>
      <c r="C175" s="15"/>
      <c r="D175" s="16"/>
      <c r="E175" s="20">
        <v>121</v>
      </c>
      <c r="F175" s="136" t="s">
        <v>90</v>
      </c>
      <c r="G175" s="37">
        <v>32039</v>
      </c>
      <c r="H175" s="37">
        <v>5200</v>
      </c>
      <c r="I175" s="37">
        <v>5200</v>
      </c>
      <c r="J175" s="75">
        <f t="shared" si="90"/>
        <v>5200</v>
      </c>
      <c r="K175" s="35">
        <f>'1.02.'!M175</f>
        <v>2600</v>
      </c>
      <c r="L175" s="35">
        <v>2600</v>
      </c>
      <c r="M175" s="92">
        <f>K175+L175</f>
        <v>5200</v>
      </c>
      <c r="N175" s="93">
        <f>I175-M175</f>
        <v>0</v>
      </c>
      <c r="O175" s="70">
        <f>M175/I175*100</f>
        <v>100</v>
      </c>
      <c r="P175" s="71">
        <f t="shared" si="70"/>
        <v>0</v>
      </c>
      <c r="Q175" s="35">
        <f t="shared" si="71"/>
        <v>0</v>
      </c>
      <c r="R175" s="72">
        <v>1103746</v>
      </c>
      <c r="S175" s="72">
        <f t="shared" si="72"/>
        <v>26839</v>
      </c>
      <c r="T175" s="62">
        <f t="shared" si="75"/>
        <v>26839</v>
      </c>
    </row>
    <row r="176" spans="1:20" ht="25.5">
      <c r="A176" s="9"/>
      <c r="B176" s="15"/>
      <c r="C176" s="15"/>
      <c r="D176" s="16"/>
      <c r="E176" s="20">
        <v>122</v>
      </c>
      <c r="F176" s="136" t="s">
        <v>91</v>
      </c>
      <c r="G176" s="37">
        <v>27832</v>
      </c>
      <c r="H176" s="37">
        <v>4020</v>
      </c>
      <c r="I176" s="37">
        <v>4020</v>
      </c>
      <c r="J176" s="75">
        <f t="shared" si="90"/>
        <v>4019.489</v>
      </c>
      <c r="K176" s="35">
        <f>'1.02.'!M176</f>
        <v>1999.9090000000001</v>
      </c>
      <c r="L176" s="35">
        <v>2019.58</v>
      </c>
      <c r="M176" s="92">
        <f t="shared" si="62"/>
        <v>4019.489</v>
      </c>
      <c r="N176" s="93">
        <f t="shared" si="63"/>
        <v>0.51099999999996726</v>
      </c>
      <c r="O176" s="70">
        <f t="shared" si="79"/>
        <v>99.98728855721393</v>
      </c>
      <c r="P176" s="71">
        <f t="shared" si="70"/>
        <v>0</v>
      </c>
      <c r="Q176" s="35">
        <f t="shared" si="71"/>
        <v>0.51099999999996726</v>
      </c>
      <c r="R176" s="72">
        <v>1103747</v>
      </c>
      <c r="S176" s="72">
        <f t="shared" si="72"/>
        <v>23812.510999999999</v>
      </c>
      <c r="T176" s="62">
        <f t="shared" si="75"/>
        <v>23812.510999999999</v>
      </c>
    </row>
    <row r="177" spans="1:20">
      <c r="A177" s="9"/>
      <c r="B177" s="15"/>
      <c r="C177" s="15"/>
      <c r="D177" s="16"/>
      <c r="E177" s="20">
        <v>123</v>
      </c>
      <c r="F177" s="136" t="s">
        <v>92</v>
      </c>
      <c r="G177" s="37">
        <v>168</v>
      </c>
      <c r="H177" s="37"/>
      <c r="I177" s="37"/>
      <c r="J177" s="75">
        <f t="shared" si="90"/>
        <v>0</v>
      </c>
      <c r="K177" s="35">
        <f>'1.02.'!M177</f>
        <v>0</v>
      </c>
      <c r="L177" s="35"/>
      <c r="M177" s="92">
        <f t="shared" si="62"/>
        <v>0</v>
      </c>
      <c r="N177" s="93">
        <f t="shared" si="63"/>
        <v>0</v>
      </c>
      <c r="O177" s="70" t="e">
        <f t="shared" si="79"/>
        <v>#DIV/0!</v>
      </c>
      <c r="P177" s="71">
        <f t="shared" si="70"/>
        <v>0</v>
      </c>
      <c r="Q177" s="35">
        <f t="shared" si="71"/>
        <v>0</v>
      </c>
      <c r="R177" s="72">
        <v>1103748</v>
      </c>
      <c r="S177" s="72">
        <f t="shared" si="72"/>
        <v>168</v>
      </c>
      <c r="T177" s="62">
        <f t="shared" si="75"/>
        <v>168</v>
      </c>
    </row>
    <row r="178" spans="1:20">
      <c r="A178" s="9"/>
      <c r="B178" s="15"/>
      <c r="C178" s="15"/>
      <c r="D178" s="16"/>
      <c r="E178" s="20">
        <v>124</v>
      </c>
      <c r="F178" s="136" t="s">
        <v>93</v>
      </c>
      <c r="G178" s="37">
        <v>15607</v>
      </c>
      <c r="H178" s="37">
        <v>2100</v>
      </c>
      <c r="I178" s="37">
        <v>2100</v>
      </c>
      <c r="J178" s="75">
        <f t="shared" si="90"/>
        <v>2090.9520000000002</v>
      </c>
      <c r="K178" s="35">
        <f>'1.02.'!M178</f>
        <v>986.23800000000006</v>
      </c>
      <c r="L178" s="35">
        <v>1104.7139999999999</v>
      </c>
      <c r="M178" s="93">
        <f t="shared" si="62"/>
        <v>2090.9520000000002</v>
      </c>
      <c r="N178" s="93">
        <f t="shared" si="63"/>
        <v>9.0479999999997744</v>
      </c>
      <c r="O178" s="70">
        <f t="shared" si="79"/>
        <v>99.569142857142865</v>
      </c>
      <c r="P178" s="71">
        <f t="shared" si="70"/>
        <v>0</v>
      </c>
      <c r="Q178" s="35">
        <f t="shared" si="71"/>
        <v>9.0479999999997744</v>
      </c>
      <c r="R178" s="72">
        <v>1103749</v>
      </c>
      <c r="S178" s="72">
        <f t="shared" si="72"/>
        <v>13516.047999999999</v>
      </c>
      <c r="T178" s="62">
        <f t="shared" si="75"/>
        <v>13516.047999999999</v>
      </c>
    </row>
    <row r="179" spans="1:20" s="73" customFormat="1">
      <c r="A179" s="9"/>
      <c r="B179" s="15"/>
      <c r="C179" s="15"/>
      <c r="D179" s="16"/>
      <c r="E179" s="20">
        <v>141</v>
      </c>
      <c r="F179" s="136" t="s">
        <v>116</v>
      </c>
      <c r="G179" s="37">
        <v>170896</v>
      </c>
      <c r="H179" s="37">
        <v>0</v>
      </c>
      <c r="I179" s="37">
        <v>0</v>
      </c>
      <c r="J179" s="75">
        <f t="shared" ref="J179:J187" si="92">M179</f>
        <v>0</v>
      </c>
      <c r="K179" s="35">
        <f>'1.02.'!M179</f>
        <v>0</v>
      </c>
      <c r="L179" s="35"/>
      <c r="M179" s="92">
        <f t="shared" si="62"/>
        <v>0</v>
      </c>
      <c r="N179" s="93">
        <f t="shared" si="63"/>
        <v>0</v>
      </c>
      <c r="O179" s="70" t="e">
        <f t="shared" si="79"/>
        <v>#DIV/0!</v>
      </c>
      <c r="P179" s="71">
        <f t="shared" si="70"/>
        <v>0</v>
      </c>
      <c r="Q179" s="35">
        <f t="shared" si="71"/>
        <v>0</v>
      </c>
      <c r="R179" s="72">
        <v>1103750</v>
      </c>
      <c r="S179" s="72">
        <f t="shared" si="72"/>
        <v>170896</v>
      </c>
      <c r="T179" s="62">
        <f t="shared" si="75"/>
        <v>170896</v>
      </c>
    </row>
    <row r="180" spans="1:20">
      <c r="A180" s="9"/>
      <c r="B180" s="15"/>
      <c r="C180" s="15"/>
      <c r="D180" s="16"/>
      <c r="E180" s="20">
        <v>144</v>
      </c>
      <c r="F180" s="136" t="s">
        <v>97</v>
      </c>
      <c r="G180" s="37">
        <v>4041</v>
      </c>
      <c r="H180" s="37"/>
      <c r="I180" s="37"/>
      <c r="J180" s="75">
        <f t="shared" si="92"/>
        <v>0</v>
      </c>
      <c r="K180" s="35">
        <f>'1.02.'!M180</f>
        <v>0</v>
      </c>
      <c r="L180" s="35"/>
      <c r="M180" s="92">
        <f t="shared" si="62"/>
        <v>0</v>
      </c>
      <c r="N180" s="93">
        <f t="shared" si="63"/>
        <v>0</v>
      </c>
      <c r="O180" s="70" t="e">
        <f t="shared" si="79"/>
        <v>#DIV/0!</v>
      </c>
      <c r="P180" s="71">
        <f t="shared" si="70"/>
        <v>0</v>
      </c>
      <c r="Q180" s="35">
        <f t="shared" si="71"/>
        <v>0</v>
      </c>
      <c r="R180" s="72">
        <v>1103751</v>
      </c>
      <c r="S180" s="72">
        <f t="shared" si="72"/>
        <v>4041</v>
      </c>
      <c r="T180" s="62">
        <f t="shared" si="75"/>
        <v>4041</v>
      </c>
    </row>
    <row r="181" spans="1:20">
      <c r="A181" s="100"/>
      <c r="B181" s="15"/>
      <c r="C181" s="15"/>
      <c r="D181" s="16"/>
      <c r="E181" s="20">
        <v>149</v>
      </c>
      <c r="F181" s="136" t="s">
        <v>98</v>
      </c>
      <c r="G181" s="37">
        <v>3715</v>
      </c>
      <c r="H181" s="37">
        <v>1266</v>
      </c>
      <c r="I181" s="37"/>
      <c r="J181" s="75">
        <v>1265.46</v>
      </c>
      <c r="K181" s="35">
        <f>'1.02.'!M181</f>
        <v>0</v>
      </c>
      <c r="L181" s="35"/>
      <c r="M181" s="92">
        <f t="shared" si="62"/>
        <v>0</v>
      </c>
      <c r="N181" s="93">
        <f t="shared" si="63"/>
        <v>0</v>
      </c>
      <c r="O181" s="70" t="e">
        <f t="shared" si="79"/>
        <v>#DIV/0!</v>
      </c>
      <c r="P181" s="71">
        <f t="shared" si="70"/>
        <v>1265.46</v>
      </c>
      <c r="Q181" s="35">
        <f t="shared" si="71"/>
        <v>0.53999999999996362</v>
      </c>
      <c r="R181" s="72">
        <v>1103752</v>
      </c>
      <c r="S181" s="72">
        <f t="shared" si="72"/>
        <v>3715</v>
      </c>
      <c r="T181" s="62">
        <f t="shared" si="75"/>
        <v>2449.54</v>
      </c>
    </row>
    <row r="182" spans="1:20">
      <c r="A182" s="100"/>
      <c r="B182" s="15"/>
      <c r="C182" s="15"/>
      <c r="D182" s="16"/>
      <c r="E182" s="20">
        <v>151</v>
      </c>
      <c r="F182" s="136" t="s">
        <v>99</v>
      </c>
      <c r="G182" s="37">
        <v>35085</v>
      </c>
      <c r="H182" s="37">
        <v>8000</v>
      </c>
      <c r="I182" s="37">
        <v>8000</v>
      </c>
      <c r="J182" s="75">
        <f t="shared" si="92"/>
        <v>8000</v>
      </c>
      <c r="K182" s="35">
        <f>'1.02.'!M182</f>
        <v>2000</v>
      </c>
      <c r="L182" s="35">
        <v>6000</v>
      </c>
      <c r="M182" s="92">
        <f t="shared" ref="M182:M187" si="93">K182+L182</f>
        <v>8000</v>
      </c>
      <c r="N182" s="93">
        <f t="shared" ref="N182:N212" si="94">I182-M182</f>
        <v>0</v>
      </c>
      <c r="O182" s="70">
        <f t="shared" si="79"/>
        <v>100</v>
      </c>
      <c r="P182" s="71">
        <f t="shared" si="70"/>
        <v>0</v>
      </c>
      <c r="Q182" s="35">
        <f t="shared" si="71"/>
        <v>0</v>
      </c>
      <c r="R182" s="72">
        <v>1103753</v>
      </c>
      <c r="S182" s="72">
        <f t="shared" si="72"/>
        <v>27085</v>
      </c>
      <c r="T182" s="62">
        <f t="shared" si="75"/>
        <v>27085</v>
      </c>
    </row>
    <row r="183" spans="1:20">
      <c r="A183" s="100"/>
      <c r="B183" s="15"/>
      <c r="C183" s="15"/>
      <c r="D183" s="16"/>
      <c r="E183" s="20">
        <v>152</v>
      </c>
      <c r="F183" s="136" t="s">
        <v>100</v>
      </c>
      <c r="G183" s="37">
        <v>1374</v>
      </c>
      <c r="H183" s="37">
        <v>1374</v>
      </c>
      <c r="I183" s="37">
        <v>115</v>
      </c>
      <c r="J183" s="75">
        <v>1373.87772</v>
      </c>
      <c r="K183" s="35">
        <f>'1.02.'!M183</f>
        <v>0</v>
      </c>
      <c r="L183" s="35">
        <v>115</v>
      </c>
      <c r="M183" s="92">
        <f t="shared" si="93"/>
        <v>115</v>
      </c>
      <c r="N183" s="101">
        <f t="shared" si="94"/>
        <v>0</v>
      </c>
      <c r="O183" s="70">
        <f t="shared" si="79"/>
        <v>100</v>
      </c>
      <c r="P183" s="71">
        <f t="shared" si="70"/>
        <v>1258.87772</v>
      </c>
      <c r="Q183" s="35">
        <f t="shared" si="71"/>
        <v>0.12228000000004613</v>
      </c>
      <c r="R183" s="72">
        <v>1103754</v>
      </c>
      <c r="S183" s="72">
        <f t="shared" si="72"/>
        <v>1259</v>
      </c>
      <c r="T183" s="62">
        <f t="shared" si="75"/>
        <v>0.12228000000004613</v>
      </c>
    </row>
    <row r="184" spans="1:20" ht="25.5">
      <c r="A184" s="100"/>
      <c r="B184" s="15"/>
      <c r="C184" s="15"/>
      <c r="D184" s="16"/>
      <c r="E184" s="20">
        <v>158</v>
      </c>
      <c r="F184" s="136" t="s">
        <v>101</v>
      </c>
      <c r="G184" s="37">
        <f>730+2332</f>
        <v>3062</v>
      </c>
      <c r="H184" s="37">
        <v>3062</v>
      </c>
      <c r="I184" s="37">
        <v>256</v>
      </c>
      <c r="J184" s="75">
        <v>3061.6</v>
      </c>
      <c r="K184" s="35">
        <f>'1.02.'!M184</f>
        <v>0</v>
      </c>
      <c r="L184" s="35">
        <v>255.3</v>
      </c>
      <c r="M184" s="92">
        <f t="shared" si="93"/>
        <v>255.3</v>
      </c>
      <c r="N184" s="101">
        <f t="shared" si="94"/>
        <v>0.69999999999998863</v>
      </c>
      <c r="O184" s="70">
        <f t="shared" si="79"/>
        <v>99.7265625</v>
      </c>
      <c r="P184" s="71">
        <f t="shared" si="70"/>
        <v>2806.2999999999997</v>
      </c>
      <c r="Q184" s="35">
        <f t="shared" si="71"/>
        <v>0.40000000000009095</v>
      </c>
      <c r="R184" s="72">
        <v>1103755</v>
      </c>
      <c r="S184" s="72">
        <f t="shared" si="72"/>
        <v>2806.7</v>
      </c>
      <c r="T184" s="62">
        <f t="shared" si="75"/>
        <v>0.40000000000009095</v>
      </c>
    </row>
    <row r="185" spans="1:20">
      <c r="A185" s="100"/>
      <c r="B185" s="15"/>
      <c r="C185" s="15"/>
      <c r="D185" s="16"/>
      <c r="E185" s="20">
        <v>159</v>
      </c>
      <c r="F185" s="136" t="s">
        <v>84</v>
      </c>
      <c r="G185" s="37">
        <f>7434-2332</f>
        <v>5102</v>
      </c>
      <c r="H185" s="37">
        <v>2532</v>
      </c>
      <c r="I185" s="37">
        <v>35</v>
      </c>
      <c r="J185" s="75">
        <v>2531.92148</v>
      </c>
      <c r="K185" s="35">
        <f>'1.02.'!M185</f>
        <v>0</v>
      </c>
      <c r="L185" s="35">
        <v>35</v>
      </c>
      <c r="M185" s="93">
        <f t="shared" si="93"/>
        <v>35</v>
      </c>
      <c r="N185" s="93">
        <f t="shared" si="94"/>
        <v>0</v>
      </c>
      <c r="O185" s="70">
        <f t="shared" si="79"/>
        <v>100</v>
      </c>
      <c r="P185" s="71">
        <f t="shared" si="70"/>
        <v>2496.92148</v>
      </c>
      <c r="Q185" s="35">
        <f t="shared" si="71"/>
        <v>7.8520000000025902E-2</v>
      </c>
      <c r="R185" s="72">
        <v>1103756</v>
      </c>
      <c r="S185" s="72">
        <f t="shared" si="72"/>
        <v>5067</v>
      </c>
      <c r="T185" s="62">
        <f t="shared" si="75"/>
        <v>2570.07852</v>
      </c>
    </row>
    <row r="186" spans="1:20">
      <c r="A186" s="100"/>
      <c r="B186" s="15"/>
      <c r="C186" s="15"/>
      <c r="D186" s="16"/>
      <c r="E186" s="69">
        <v>161</v>
      </c>
      <c r="F186" s="136" t="s">
        <v>102</v>
      </c>
      <c r="G186" s="37"/>
      <c r="H186" s="37"/>
      <c r="I186" s="37"/>
      <c r="J186" s="75">
        <f t="shared" si="92"/>
        <v>0</v>
      </c>
      <c r="K186" s="35">
        <f>'1.02.'!M186</f>
        <v>0</v>
      </c>
      <c r="L186" s="35"/>
      <c r="M186" s="92">
        <f t="shared" si="93"/>
        <v>0</v>
      </c>
      <c r="N186" s="93">
        <f t="shared" si="94"/>
        <v>0</v>
      </c>
      <c r="O186" s="70" t="e">
        <f t="shared" si="79"/>
        <v>#DIV/0!</v>
      </c>
      <c r="P186" s="71">
        <f t="shared" si="70"/>
        <v>0</v>
      </c>
      <c r="Q186" s="35">
        <f t="shared" si="71"/>
        <v>0</v>
      </c>
      <c r="R186" s="72">
        <v>1103757</v>
      </c>
      <c r="S186" s="72">
        <f t="shared" si="72"/>
        <v>0</v>
      </c>
      <c r="T186" s="62">
        <f t="shared" si="75"/>
        <v>0</v>
      </c>
    </row>
    <row r="187" spans="1:20">
      <c r="A187" s="100"/>
      <c r="B187" s="15"/>
      <c r="C187" s="15"/>
      <c r="D187" s="16"/>
      <c r="E187" s="20">
        <v>169</v>
      </c>
      <c r="F187" s="136" t="s">
        <v>103</v>
      </c>
      <c r="G187" s="37">
        <v>403</v>
      </c>
      <c r="H187" s="37">
        <v>100</v>
      </c>
      <c r="I187" s="37">
        <v>100</v>
      </c>
      <c r="J187" s="75">
        <f t="shared" si="92"/>
        <v>100</v>
      </c>
      <c r="K187" s="35">
        <f>'1.02.'!M187</f>
        <v>0</v>
      </c>
      <c r="L187" s="35">
        <v>100</v>
      </c>
      <c r="M187" s="93">
        <f t="shared" si="93"/>
        <v>100</v>
      </c>
      <c r="N187" s="93">
        <f t="shared" si="94"/>
        <v>0</v>
      </c>
      <c r="O187" s="70">
        <f t="shared" si="79"/>
        <v>100</v>
      </c>
      <c r="P187" s="71">
        <f t="shared" si="70"/>
        <v>0</v>
      </c>
      <c r="Q187" s="35">
        <f t="shared" si="71"/>
        <v>0</v>
      </c>
      <c r="R187" s="72">
        <v>1103758</v>
      </c>
      <c r="S187" s="72">
        <f t="shared" si="72"/>
        <v>303</v>
      </c>
      <c r="T187" s="62">
        <f t="shared" si="75"/>
        <v>303</v>
      </c>
    </row>
    <row r="188" spans="1:20" ht="25.5">
      <c r="A188" s="100"/>
      <c r="B188" s="15"/>
      <c r="C188" s="57" t="s">
        <v>43</v>
      </c>
      <c r="D188" s="16"/>
      <c r="E188" s="20"/>
      <c r="F188" s="139" t="s">
        <v>119</v>
      </c>
      <c r="G188" s="59">
        <f t="shared" ref="G188:N188" si="95">G189</f>
        <v>350929</v>
      </c>
      <c r="H188" s="59">
        <f t="shared" si="95"/>
        <v>350929</v>
      </c>
      <c r="I188" s="59">
        <f t="shared" si="95"/>
        <v>153203</v>
      </c>
      <c r="J188" s="29">
        <f t="shared" si="95"/>
        <v>350929</v>
      </c>
      <c r="K188" s="35">
        <f>'1.02.'!M188</f>
        <v>0</v>
      </c>
      <c r="L188" s="59">
        <f t="shared" si="95"/>
        <v>153202.19500000001</v>
      </c>
      <c r="M188" s="59">
        <f t="shared" si="95"/>
        <v>153202.19500000001</v>
      </c>
      <c r="N188" s="29">
        <f t="shared" si="95"/>
        <v>0.80499999999301508</v>
      </c>
      <c r="O188" s="70"/>
      <c r="P188" s="71">
        <f t="shared" si="70"/>
        <v>197726.80499999999</v>
      </c>
      <c r="Q188" s="35">
        <f t="shared" si="71"/>
        <v>0</v>
      </c>
      <c r="R188" s="72">
        <v>1103759</v>
      </c>
      <c r="S188" s="72">
        <f t="shared" si="72"/>
        <v>197726.80499999999</v>
      </c>
    </row>
    <row r="189" spans="1:20">
      <c r="A189" s="9"/>
      <c r="B189" s="12"/>
      <c r="C189" s="12"/>
      <c r="D189" s="11" t="s">
        <v>7</v>
      </c>
      <c r="E189" s="97"/>
      <c r="F189" s="122" t="s">
        <v>85</v>
      </c>
      <c r="G189" s="98">
        <f>G190+G191</f>
        <v>350929</v>
      </c>
      <c r="H189" s="98">
        <f t="shared" ref="H189:N189" si="96">H190+H191</f>
        <v>350929</v>
      </c>
      <c r="I189" s="98">
        <f t="shared" si="96"/>
        <v>153203</v>
      </c>
      <c r="J189" s="99">
        <f t="shared" si="96"/>
        <v>350929</v>
      </c>
      <c r="K189" s="35">
        <f>'1.02.'!M189</f>
        <v>0</v>
      </c>
      <c r="L189" s="98">
        <f t="shared" si="96"/>
        <v>153202.19500000001</v>
      </c>
      <c r="M189" s="32">
        <f t="shared" si="96"/>
        <v>153202.19500000001</v>
      </c>
      <c r="N189" s="98">
        <f t="shared" si="96"/>
        <v>0.80499999999301508</v>
      </c>
      <c r="O189" s="68">
        <f>M189/I189*100</f>
        <v>99.999474553370376</v>
      </c>
      <c r="P189" s="71">
        <f t="shared" si="70"/>
        <v>197726.80499999999</v>
      </c>
      <c r="Q189" s="35">
        <f t="shared" si="71"/>
        <v>0</v>
      </c>
      <c r="R189" s="72">
        <v>1103760</v>
      </c>
      <c r="S189" s="72">
        <f t="shared" si="72"/>
        <v>197726.80499999999</v>
      </c>
      <c r="T189" s="62">
        <f>G189-J189</f>
        <v>0</v>
      </c>
    </row>
    <row r="190" spans="1:20" ht="25.5">
      <c r="A190" s="100"/>
      <c r="B190" s="15"/>
      <c r="C190" s="15"/>
      <c r="D190" s="16"/>
      <c r="E190" s="20">
        <v>414</v>
      </c>
      <c r="F190" s="50" t="s">
        <v>105</v>
      </c>
      <c r="G190" s="37"/>
      <c r="H190" s="37"/>
      <c r="I190" s="37"/>
      <c r="J190" s="75">
        <f>M190</f>
        <v>0</v>
      </c>
      <c r="K190" s="35">
        <f>'1.02.'!M190</f>
        <v>0</v>
      </c>
      <c r="L190" s="35"/>
      <c r="M190" s="92">
        <f t="shared" ref="M190:M191" si="97">K190+L190</f>
        <v>0</v>
      </c>
      <c r="N190" s="93">
        <f t="shared" ref="N190:N191" si="98">I190-M190</f>
        <v>0</v>
      </c>
      <c r="O190" s="70" t="e">
        <f t="shared" ref="O190:O191" si="99">M190/I190*100</f>
        <v>#DIV/0!</v>
      </c>
      <c r="P190" s="71">
        <f t="shared" si="70"/>
        <v>0</v>
      </c>
      <c r="Q190" s="35">
        <f t="shared" si="71"/>
        <v>0</v>
      </c>
      <c r="R190" s="72">
        <v>1103761</v>
      </c>
      <c r="S190" s="72">
        <f t="shared" si="72"/>
        <v>0</v>
      </c>
    </row>
    <row r="191" spans="1:20" ht="25.5">
      <c r="A191" s="100"/>
      <c r="B191" s="15"/>
      <c r="C191" s="15"/>
      <c r="D191" s="16"/>
      <c r="E191" s="20">
        <v>421</v>
      </c>
      <c r="F191" s="136" t="s">
        <v>156</v>
      </c>
      <c r="G191" s="37">
        <v>350929</v>
      </c>
      <c r="H191" s="37">
        <v>350929</v>
      </c>
      <c r="I191" s="37">
        <v>153203</v>
      </c>
      <c r="J191" s="75">
        <v>350929</v>
      </c>
      <c r="K191" s="35">
        <f>'1.02.'!M191</f>
        <v>0</v>
      </c>
      <c r="L191" s="35">
        <v>153202.19500000001</v>
      </c>
      <c r="M191" s="92">
        <f t="shared" si="97"/>
        <v>153202.19500000001</v>
      </c>
      <c r="N191" s="93">
        <f t="shared" si="98"/>
        <v>0.80499999999301508</v>
      </c>
      <c r="O191" s="70">
        <f t="shared" si="99"/>
        <v>99.999474553370376</v>
      </c>
      <c r="P191" s="71">
        <f t="shared" si="70"/>
        <v>197726.80499999999</v>
      </c>
      <c r="Q191" s="35">
        <f t="shared" si="71"/>
        <v>0</v>
      </c>
      <c r="R191" s="72">
        <v>1103762</v>
      </c>
      <c r="S191" s="72">
        <f t="shared" si="72"/>
        <v>197726.80499999999</v>
      </c>
    </row>
    <row r="192" spans="1:20" s="73" customFormat="1">
      <c r="A192" s="100"/>
      <c r="B192" s="8" t="s">
        <v>20</v>
      </c>
      <c r="C192" s="8"/>
      <c r="D192" s="21"/>
      <c r="E192" s="21"/>
      <c r="F192" s="139" t="s">
        <v>125</v>
      </c>
      <c r="G192" s="59">
        <f>G193+G213</f>
        <v>636935</v>
      </c>
      <c r="H192" s="59">
        <f t="shared" ref="H192:N192" si="100">H193+H213</f>
        <v>87687</v>
      </c>
      <c r="I192" s="59">
        <f t="shared" si="100"/>
        <v>76686</v>
      </c>
      <c r="J192" s="29">
        <f t="shared" si="100"/>
        <v>80393.390270000004</v>
      </c>
      <c r="K192" s="29">
        <f t="shared" ref="K192" si="101">K193+K213</f>
        <v>30216.922999999999</v>
      </c>
      <c r="L192" s="59">
        <f t="shared" si="100"/>
        <v>46191.659340000006</v>
      </c>
      <c r="M192" s="29">
        <f t="shared" si="100"/>
        <v>76408.582340000008</v>
      </c>
      <c r="N192" s="29">
        <f t="shared" si="100"/>
        <v>277.41765999999961</v>
      </c>
      <c r="O192" s="68">
        <f t="shared" si="79"/>
        <v>99.638242104165045</v>
      </c>
      <c r="P192" s="71">
        <f t="shared" si="70"/>
        <v>3984.8079299999954</v>
      </c>
      <c r="Q192" s="35">
        <f t="shared" si="71"/>
        <v>7293.6097299999965</v>
      </c>
      <c r="R192" s="72">
        <v>1103763</v>
      </c>
      <c r="S192" s="72">
        <f t="shared" si="72"/>
        <v>560526.41766000004</v>
      </c>
      <c r="T192" s="62">
        <f t="shared" si="75"/>
        <v>556541.60973000003</v>
      </c>
    </row>
    <row r="193" spans="1:20" s="95" customFormat="1" ht="76.5">
      <c r="A193" s="100"/>
      <c r="B193" s="8"/>
      <c r="C193" s="17" t="s">
        <v>23</v>
      </c>
      <c r="D193" s="17"/>
      <c r="E193" s="21"/>
      <c r="F193" s="139" t="s">
        <v>124</v>
      </c>
      <c r="G193" s="59">
        <f>G194</f>
        <v>636935</v>
      </c>
      <c r="H193" s="59">
        <f t="shared" ref="H193:N193" si="102">H194</f>
        <v>87687</v>
      </c>
      <c r="I193" s="59">
        <f t="shared" si="102"/>
        <v>76686</v>
      </c>
      <c r="J193" s="59">
        <f t="shared" si="102"/>
        <v>80393.390270000004</v>
      </c>
      <c r="K193" s="29">
        <f t="shared" si="102"/>
        <v>30216.922999999999</v>
      </c>
      <c r="L193" s="59">
        <f t="shared" si="102"/>
        <v>46191.659340000006</v>
      </c>
      <c r="M193" s="29">
        <f t="shared" si="102"/>
        <v>76408.582340000008</v>
      </c>
      <c r="N193" s="29">
        <f t="shared" si="102"/>
        <v>277.41765999999961</v>
      </c>
      <c r="O193" s="68">
        <f t="shared" si="79"/>
        <v>99.638242104165045</v>
      </c>
      <c r="P193" s="71">
        <f t="shared" si="70"/>
        <v>3984.8079299999954</v>
      </c>
      <c r="Q193" s="35">
        <f t="shared" si="71"/>
        <v>7293.6097299999965</v>
      </c>
      <c r="R193" s="72">
        <v>1103764</v>
      </c>
      <c r="S193" s="72">
        <f t="shared" si="72"/>
        <v>560526.41766000004</v>
      </c>
      <c r="T193" s="62">
        <f t="shared" si="75"/>
        <v>556541.60973000003</v>
      </c>
    </row>
    <row r="194" spans="1:20">
      <c r="A194" s="100"/>
      <c r="B194" s="8"/>
      <c r="C194" s="17"/>
      <c r="D194" s="17" t="s">
        <v>7</v>
      </c>
      <c r="E194" s="10"/>
      <c r="F194" s="140" t="s">
        <v>85</v>
      </c>
      <c r="G194" s="59">
        <f>SUM(G195:G212)</f>
        <v>636935</v>
      </c>
      <c r="H194" s="59">
        <f>SUM(H195:H212)</f>
        <v>87687</v>
      </c>
      <c r="I194" s="59">
        <f>SUM(I195:I212)</f>
        <v>76686</v>
      </c>
      <c r="J194" s="29">
        <f>SUM(J195:J212)</f>
        <v>80393.390270000004</v>
      </c>
      <c r="K194" s="29">
        <f>SUM(K195:K212)</f>
        <v>30216.922999999999</v>
      </c>
      <c r="L194" s="29">
        <f t="shared" ref="L194:N194" si="103">SUM(L195:L212)</f>
        <v>46191.659340000006</v>
      </c>
      <c r="M194" s="29">
        <f>SUM(M195:M212)</f>
        <v>76408.582340000008</v>
      </c>
      <c r="N194" s="29">
        <f t="shared" si="103"/>
        <v>277.41765999999961</v>
      </c>
      <c r="O194" s="68">
        <f>M194/I194*100</f>
        <v>99.638242104165045</v>
      </c>
      <c r="P194" s="71">
        <f t="shared" si="70"/>
        <v>3984.8079299999954</v>
      </c>
      <c r="Q194" s="35">
        <f t="shared" si="71"/>
        <v>7293.6097299999965</v>
      </c>
      <c r="R194" s="72">
        <v>1103765</v>
      </c>
      <c r="S194" s="72">
        <f t="shared" si="72"/>
        <v>560526.41766000004</v>
      </c>
      <c r="T194" s="62">
        <f t="shared" si="75"/>
        <v>556541.60973000003</v>
      </c>
    </row>
    <row r="195" spans="1:20">
      <c r="A195" s="100"/>
      <c r="B195" s="9"/>
      <c r="C195" s="9"/>
      <c r="D195" s="69"/>
      <c r="E195" s="69">
        <v>111</v>
      </c>
      <c r="F195" s="136" t="s">
        <v>86</v>
      </c>
      <c r="G195" s="26">
        <v>367447</v>
      </c>
      <c r="H195" s="26">
        <v>60782</v>
      </c>
      <c r="I195" s="26">
        <v>60782</v>
      </c>
      <c r="J195" s="27">
        <f>M195</f>
        <v>60782</v>
      </c>
      <c r="K195" s="35">
        <f>'1.02.'!M195</f>
        <v>28437.493999999999</v>
      </c>
      <c r="L195" s="27">
        <v>32344.506000000001</v>
      </c>
      <c r="M195" s="92">
        <f>K195+L195</f>
        <v>60782</v>
      </c>
      <c r="N195" s="93">
        <f t="shared" si="94"/>
        <v>0</v>
      </c>
      <c r="O195" s="70">
        <f t="shared" si="79"/>
        <v>100</v>
      </c>
      <c r="P195" s="71">
        <f t="shared" si="70"/>
        <v>0</v>
      </c>
      <c r="Q195" s="35">
        <f t="shared" si="71"/>
        <v>0</v>
      </c>
      <c r="R195" s="72">
        <v>1103766</v>
      </c>
      <c r="S195" s="72">
        <f t="shared" si="72"/>
        <v>306665</v>
      </c>
      <c r="T195" s="62">
        <f t="shared" si="75"/>
        <v>306665</v>
      </c>
    </row>
    <row r="196" spans="1:20">
      <c r="A196" s="100"/>
      <c r="B196" s="9"/>
      <c r="C196" s="9"/>
      <c r="D196" s="69"/>
      <c r="E196" s="69">
        <v>112</v>
      </c>
      <c r="F196" s="136" t="s">
        <v>87</v>
      </c>
      <c r="G196" s="26"/>
      <c r="H196" s="26"/>
      <c r="I196" s="26"/>
      <c r="J196" s="27">
        <f t="shared" ref="J196:J212" si="104">M196</f>
        <v>0</v>
      </c>
      <c r="K196" s="35">
        <f>'1.02.'!M196</f>
        <v>0</v>
      </c>
      <c r="L196" s="27"/>
      <c r="M196" s="92">
        <f>K196+L196</f>
        <v>0</v>
      </c>
      <c r="N196" s="93">
        <f t="shared" si="94"/>
        <v>0</v>
      </c>
      <c r="O196" s="70" t="e">
        <f t="shared" si="79"/>
        <v>#DIV/0!</v>
      </c>
      <c r="P196" s="71">
        <f t="shared" si="70"/>
        <v>0</v>
      </c>
      <c r="Q196" s="35">
        <f t="shared" si="71"/>
        <v>0</v>
      </c>
      <c r="R196" s="72">
        <v>1103767</v>
      </c>
      <c r="S196" s="72">
        <f t="shared" si="72"/>
        <v>0</v>
      </c>
    </row>
    <row r="197" spans="1:20">
      <c r="A197" s="100"/>
      <c r="B197" s="9"/>
      <c r="C197" s="9"/>
      <c r="D197" s="69"/>
      <c r="E197" s="76">
        <v>113</v>
      </c>
      <c r="F197" s="136" t="s">
        <v>88</v>
      </c>
      <c r="G197" s="26">
        <v>11349</v>
      </c>
      <c r="H197" s="26">
        <v>1339</v>
      </c>
      <c r="I197" s="26">
        <v>1339</v>
      </c>
      <c r="J197" s="27">
        <f t="shared" si="104"/>
        <v>1339</v>
      </c>
      <c r="K197" s="35">
        <f>'1.02.'!M197</f>
        <v>440.55700000000002</v>
      </c>
      <c r="L197" s="27">
        <v>898.44299999999998</v>
      </c>
      <c r="M197" s="92">
        <f t="shared" ref="M197:M212" si="105">K197+L197</f>
        <v>1339</v>
      </c>
      <c r="N197" s="93">
        <f>I197-M197</f>
        <v>0</v>
      </c>
      <c r="O197" s="70">
        <f>M197/I197*100</f>
        <v>100</v>
      </c>
      <c r="P197" s="71">
        <f t="shared" si="70"/>
        <v>0</v>
      </c>
      <c r="Q197" s="35">
        <f t="shared" si="71"/>
        <v>0</v>
      </c>
      <c r="R197" s="72">
        <v>1103768</v>
      </c>
      <c r="S197" s="72">
        <f t="shared" si="72"/>
        <v>10010</v>
      </c>
      <c r="T197" s="62">
        <f t="shared" si="75"/>
        <v>10010</v>
      </c>
    </row>
    <row r="198" spans="1:20">
      <c r="A198" s="100"/>
      <c r="B198" s="9"/>
      <c r="C198" s="9"/>
      <c r="D198" s="69"/>
      <c r="E198" s="69">
        <v>116</v>
      </c>
      <c r="F198" s="136" t="s">
        <v>89</v>
      </c>
      <c r="G198" s="26">
        <v>11283</v>
      </c>
      <c r="H198" s="26">
        <v>1706</v>
      </c>
      <c r="I198" s="26">
        <v>1706</v>
      </c>
      <c r="J198" s="27">
        <f t="shared" si="104"/>
        <v>1706</v>
      </c>
      <c r="K198" s="35">
        <f>'1.02.'!M198</f>
        <v>826.76499999999999</v>
      </c>
      <c r="L198" s="27">
        <v>879.23500000000001</v>
      </c>
      <c r="M198" s="92">
        <f t="shared" si="105"/>
        <v>1706</v>
      </c>
      <c r="N198" s="93">
        <f>I198-M198</f>
        <v>0</v>
      </c>
      <c r="O198" s="70">
        <f>M198/I198*100</f>
        <v>100</v>
      </c>
      <c r="P198" s="71">
        <f t="shared" si="70"/>
        <v>0</v>
      </c>
      <c r="Q198" s="35">
        <f t="shared" si="71"/>
        <v>0</v>
      </c>
      <c r="R198" s="72">
        <v>1103769</v>
      </c>
      <c r="S198" s="72">
        <f t="shared" si="72"/>
        <v>9577</v>
      </c>
    </row>
    <row r="199" spans="1:20">
      <c r="A199" s="100"/>
      <c r="B199" s="9"/>
      <c r="C199" s="9"/>
      <c r="D199" s="69"/>
      <c r="E199" s="69">
        <v>121</v>
      </c>
      <c r="F199" s="136" t="s">
        <v>90</v>
      </c>
      <c r="G199" s="26">
        <v>19034</v>
      </c>
      <c r="H199" s="26">
        <v>3208</v>
      </c>
      <c r="I199" s="26">
        <v>3208</v>
      </c>
      <c r="J199" s="27">
        <f t="shared" si="104"/>
        <v>3208</v>
      </c>
      <c r="K199" s="35">
        <f>'1.02.'!M199</f>
        <v>512.10699999999997</v>
      </c>
      <c r="L199" s="27">
        <v>2695.893</v>
      </c>
      <c r="M199" s="92">
        <f t="shared" si="105"/>
        <v>3208</v>
      </c>
      <c r="N199" s="93">
        <f t="shared" si="94"/>
        <v>0</v>
      </c>
      <c r="O199" s="70">
        <f t="shared" si="79"/>
        <v>100</v>
      </c>
      <c r="P199" s="71">
        <f t="shared" si="70"/>
        <v>0</v>
      </c>
      <c r="Q199" s="35">
        <f t="shared" si="71"/>
        <v>0</v>
      </c>
      <c r="R199" s="72">
        <v>1103770</v>
      </c>
      <c r="S199" s="72">
        <f t="shared" si="72"/>
        <v>15826</v>
      </c>
      <c r="T199" s="62">
        <f t="shared" si="75"/>
        <v>15826</v>
      </c>
    </row>
    <row r="200" spans="1:20" ht="25.5">
      <c r="A200" s="100"/>
      <c r="B200" s="9"/>
      <c r="C200" s="9"/>
      <c r="D200" s="69"/>
      <c r="E200" s="69">
        <v>122</v>
      </c>
      <c r="F200" s="136" t="s">
        <v>91</v>
      </c>
      <c r="G200" s="26">
        <v>16535</v>
      </c>
      <c r="H200" s="26">
        <v>2736</v>
      </c>
      <c r="I200" s="26">
        <v>2736</v>
      </c>
      <c r="J200" s="27">
        <f t="shared" si="104"/>
        <v>2736</v>
      </c>
      <c r="K200" s="35">
        <f>'1.02.'!M200</f>
        <v>0</v>
      </c>
      <c r="L200" s="27">
        <v>2736</v>
      </c>
      <c r="M200" s="92">
        <f t="shared" si="105"/>
        <v>2736</v>
      </c>
      <c r="N200" s="93">
        <f t="shared" si="94"/>
        <v>0</v>
      </c>
      <c r="O200" s="70">
        <f t="shared" si="79"/>
        <v>100</v>
      </c>
      <c r="P200" s="71">
        <f t="shared" si="70"/>
        <v>0</v>
      </c>
      <c r="Q200" s="35">
        <f t="shared" si="71"/>
        <v>0</v>
      </c>
      <c r="R200" s="72">
        <v>1103771</v>
      </c>
      <c r="S200" s="72">
        <f t="shared" si="72"/>
        <v>13799</v>
      </c>
      <c r="T200" s="62">
        <f t="shared" si="75"/>
        <v>13799</v>
      </c>
    </row>
    <row r="201" spans="1:20">
      <c r="A201" s="100"/>
      <c r="B201" s="9"/>
      <c r="C201" s="9"/>
      <c r="D201" s="69"/>
      <c r="E201" s="69">
        <v>123</v>
      </c>
      <c r="F201" s="136" t="s">
        <v>92</v>
      </c>
      <c r="G201" s="26">
        <v>532</v>
      </c>
      <c r="H201" s="26"/>
      <c r="I201" s="26"/>
      <c r="J201" s="27">
        <f t="shared" si="104"/>
        <v>0</v>
      </c>
      <c r="K201" s="35">
        <f>'1.02.'!M201</f>
        <v>0</v>
      </c>
      <c r="L201" s="27"/>
      <c r="M201" s="92">
        <f t="shared" si="105"/>
        <v>0</v>
      </c>
      <c r="N201" s="93">
        <f t="shared" si="94"/>
        <v>0</v>
      </c>
      <c r="O201" s="70" t="e">
        <f>M201/I201*100</f>
        <v>#DIV/0!</v>
      </c>
      <c r="P201" s="71">
        <f t="shared" si="70"/>
        <v>0</v>
      </c>
      <c r="Q201" s="35">
        <f t="shared" si="71"/>
        <v>0</v>
      </c>
      <c r="R201" s="72">
        <v>1103772</v>
      </c>
      <c r="S201" s="72">
        <f t="shared" si="72"/>
        <v>532</v>
      </c>
      <c r="T201" s="62">
        <f t="shared" si="75"/>
        <v>532</v>
      </c>
    </row>
    <row r="202" spans="1:20">
      <c r="A202" s="100"/>
      <c r="B202" s="9"/>
      <c r="C202" s="9"/>
      <c r="D202" s="69"/>
      <c r="E202" s="69">
        <v>124</v>
      </c>
      <c r="F202" s="136" t="s">
        <v>93</v>
      </c>
      <c r="G202" s="26">
        <v>11023</v>
      </c>
      <c r="H202" s="26">
        <v>882</v>
      </c>
      <c r="I202" s="26">
        <v>882</v>
      </c>
      <c r="J202" s="27">
        <f t="shared" si="104"/>
        <v>882</v>
      </c>
      <c r="K202" s="35">
        <f>'1.02.'!M202</f>
        <v>0</v>
      </c>
      <c r="L202" s="27">
        <v>882</v>
      </c>
      <c r="M202" s="92">
        <f t="shared" si="105"/>
        <v>882</v>
      </c>
      <c r="N202" s="93">
        <f t="shared" si="94"/>
        <v>0</v>
      </c>
      <c r="O202" s="70">
        <f t="shared" si="79"/>
        <v>100</v>
      </c>
      <c r="P202" s="71">
        <f t="shared" ref="P202:P267" si="106">J202-M202</f>
        <v>0</v>
      </c>
      <c r="Q202" s="35">
        <f t="shared" ref="Q202:Q267" si="107">H202-J202</f>
        <v>0</v>
      </c>
      <c r="R202" s="72">
        <v>1103773</v>
      </c>
      <c r="S202" s="72">
        <f t="shared" ref="S202:S267" si="108">G202-M202</f>
        <v>10141</v>
      </c>
      <c r="T202" s="62">
        <f t="shared" si="75"/>
        <v>10141</v>
      </c>
    </row>
    <row r="203" spans="1:20">
      <c r="A203" s="100"/>
      <c r="B203" s="9"/>
      <c r="C203" s="9"/>
      <c r="D203" s="69"/>
      <c r="E203" s="69">
        <v>141</v>
      </c>
      <c r="F203" s="136" t="s">
        <v>116</v>
      </c>
      <c r="G203" s="26">
        <v>103078</v>
      </c>
      <c r="H203" s="26"/>
      <c r="I203" s="26"/>
      <c r="J203" s="27">
        <f t="shared" si="104"/>
        <v>0</v>
      </c>
      <c r="K203" s="35">
        <f>'1.02.'!M203</f>
        <v>0</v>
      </c>
      <c r="L203" s="27"/>
      <c r="M203" s="92">
        <f t="shared" si="105"/>
        <v>0</v>
      </c>
      <c r="N203" s="93">
        <f t="shared" si="94"/>
        <v>0</v>
      </c>
      <c r="O203" s="70" t="e">
        <f t="shared" si="79"/>
        <v>#DIV/0!</v>
      </c>
      <c r="P203" s="71">
        <f t="shared" si="106"/>
        <v>0</v>
      </c>
      <c r="Q203" s="35">
        <f t="shared" si="107"/>
        <v>0</v>
      </c>
      <c r="R203" s="72">
        <v>1103774</v>
      </c>
      <c r="S203" s="72">
        <f t="shared" si="108"/>
        <v>103078</v>
      </c>
      <c r="T203" s="62">
        <f t="shared" si="75"/>
        <v>103078</v>
      </c>
    </row>
    <row r="204" spans="1:20" s="73" customFormat="1">
      <c r="A204" s="100"/>
      <c r="B204" s="9"/>
      <c r="C204" s="9"/>
      <c r="D204" s="69"/>
      <c r="E204" s="69">
        <v>142</v>
      </c>
      <c r="F204" s="136" t="s">
        <v>97</v>
      </c>
      <c r="G204" s="26">
        <v>26237</v>
      </c>
      <c r="H204" s="26"/>
      <c r="I204" s="26"/>
      <c r="J204" s="27">
        <f t="shared" si="104"/>
        <v>0</v>
      </c>
      <c r="K204" s="35">
        <f>'1.02.'!M204</f>
        <v>0</v>
      </c>
      <c r="L204" s="27"/>
      <c r="M204" s="92">
        <f t="shared" si="105"/>
        <v>0</v>
      </c>
      <c r="N204" s="93">
        <f t="shared" si="94"/>
        <v>0</v>
      </c>
      <c r="O204" s="70" t="e">
        <f t="shared" si="79"/>
        <v>#DIV/0!</v>
      </c>
      <c r="P204" s="71">
        <f t="shared" si="106"/>
        <v>0</v>
      </c>
      <c r="Q204" s="35">
        <f t="shared" si="107"/>
        <v>0</v>
      </c>
      <c r="R204" s="72">
        <v>1103775</v>
      </c>
      <c r="S204" s="72">
        <f t="shared" si="108"/>
        <v>26237</v>
      </c>
      <c r="T204" s="62">
        <f t="shared" si="75"/>
        <v>26237</v>
      </c>
    </row>
    <row r="205" spans="1:20">
      <c r="A205" s="100"/>
      <c r="B205" s="9"/>
      <c r="C205" s="9"/>
      <c r="D205" s="69"/>
      <c r="E205" s="69">
        <v>144</v>
      </c>
      <c r="F205" s="136" t="s">
        <v>98</v>
      </c>
      <c r="G205" s="26">
        <v>3824</v>
      </c>
      <c r="H205" s="26"/>
      <c r="I205" s="26"/>
      <c r="J205" s="27">
        <f t="shared" si="104"/>
        <v>0</v>
      </c>
      <c r="K205" s="35">
        <f>'1.02.'!M205</f>
        <v>0</v>
      </c>
      <c r="L205" s="27"/>
      <c r="M205" s="92">
        <f t="shared" si="105"/>
        <v>0</v>
      </c>
      <c r="N205" s="93">
        <f t="shared" si="94"/>
        <v>0</v>
      </c>
      <c r="O205" s="70" t="e">
        <f t="shared" si="79"/>
        <v>#DIV/0!</v>
      </c>
      <c r="P205" s="71">
        <f t="shared" si="106"/>
        <v>0</v>
      </c>
      <c r="Q205" s="35">
        <f t="shared" si="107"/>
        <v>0</v>
      </c>
      <c r="R205" s="72">
        <v>1103776</v>
      </c>
      <c r="S205" s="72">
        <f t="shared" si="108"/>
        <v>3824</v>
      </c>
      <c r="T205" s="62">
        <f t="shared" si="75"/>
        <v>3824</v>
      </c>
    </row>
    <row r="206" spans="1:20">
      <c r="A206" s="100"/>
      <c r="B206" s="9"/>
      <c r="C206" s="9"/>
      <c r="D206" s="69"/>
      <c r="E206" s="69">
        <v>149</v>
      </c>
      <c r="F206" s="136" t="s">
        <v>99</v>
      </c>
      <c r="G206" s="26">
        <v>9021</v>
      </c>
      <c r="H206" s="26"/>
      <c r="I206" s="26"/>
      <c r="J206" s="27">
        <f t="shared" si="104"/>
        <v>0</v>
      </c>
      <c r="K206" s="35">
        <f>'1.02.'!M206</f>
        <v>0</v>
      </c>
      <c r="L206" s="27"/>
      <c r="M206" s="92">
        <f t="shared" si="105"/>
        <v>0</v>
      </c>
      <c r="N206" s="93">
        <f t="shared" si="94"/>
        <v>0</v>
      </c>
      <c r="O206" s="70" t="e">
        <f t="shared" si="79"/>
        <v>#DIV/0!</v>
      </c>
      <c r="P206" s="71">
        <f t="shared" si="106"/>
        <v>0</v>
      </c>
      <c r="Q206" s="35">
        <f t="shared" si="107"/>
        <v>0</v>
      </c>
      <c r="R206" s="72">
        <v>1103777</v>
      </c>
      <c r="S206" s="72">
        <f t="shared" si="108"/>
        <v>9021</v>
      </c>
      <c r="T206" s="62">
        <f t="shared" si="75"/>
        <v>9021</v>
      </c>
    </row>
    <row r="207" spans="1:20">
      <c r="A207" s="100"/>
      <c r="B207" s="9"/>
      <c r="C207" s="9"/>
      <c r="D207" s="69"/>
      <c r="E207" s="69">
        <v>151</v>
      </c>
      <c r="F207" s="136" t="s">
        <v>100</v>
      </c>
      <c r="G207" s="26">
        <v>33050</v>
      </c>
      <c r="H207" s="26">
        <v>4527</v>
      </c>
      <c r="I207" s="26">
        <v>4527</v>
      </c>
      <c r="J207" s="27">
        <f t="shared" si="104"/>
        <v>4526.6742700000004</v>
      </c>
      <c r="K207" s="35">
        <f>'1.02.'!M207</f>
        <v>0</v>
      </c>
      <c r="L207" s="27">
        <v>4526.6742700000004</v>
      </c>
      <c r="M207" s="92">
        <f t="shared" si="105"/>
        <v>4526.6742700000004</v>
      </c>
      <c r="N207" s="93">
        <f t="shared" si="94"/>
        <v>0.32572999999956664</v>
      </c>
      <c r="O207" s="70">
        <f t="shared" si="79"/>
        <v>99.992804727192407</v>
      </c>
      <c r="P207" s="71">
        <f t="shared" si="106"/>
        <v>0</v>
      </c>
      <c r="Q207" s="35">
        <f t="shared" si="107"/>
        <v>0.32572999999956664</v>
      </c>
      <c r="R207" s="72">
        <v>1103778</v>
      </c>
      <c r="S207" s="72">
        <f t="shared" si="108"/>
        <v>28523.32573</v>
      </c>
      <c r="T207" s="62">
        <f t="shared" si="75"/>
        <v>28523.32573</v>
      </c>
    </row>
    <row r="208" spans="1:20" ht="25.5">
      <c r="A208" s="100"/>
      <c r="B208" s="9"/>
      <c r="C208" s="9"/>
      <c r="D208" s="69"/>
      <c r="E208" s="69">
        <v>152</v>
      </c>
      <c r="F208" s="136" t="s">
        <v>101</v>
      </c>
      <c r="G208" s="26">
        <v>3322</v>
      </c>
      <c r="H208" s="26">
        <v>3322</v>
      </c>
      <c r="I208" s="26">
        <v>277</v>
      </c>
      <c r="J208" s="27">
        <f t="shared" si="104"/>
        <v>0</v>
      </c>
      <c r="K208" s="35">
        <f>'1.02.'!M208</f>
        <v>0</v>
      </c>
      <c r="L208" s="27"/>
      <c r="M208" s="92">
        <f t="shared" si="105"/>
        <v>0</v>
      </c>
      <c r="N208" s="93">
        <f t="shared" si="94"/>
        <v>277</v>
      </c>
      <c r="O208" s="70">
        <f t="shared" si="79"/>
        <v>0</v>
      </c>
      <c r="P208" s="71">
        <f t="shared" si="106"/>
        <v>0</v>
      </c>
      <c r="Q208" s="35">
        <f t="shared" si="107"/>
        <v>3322</v>
      </c>
      <c r="R208" s="72">
        <v>1103779</v>
      </c>
      <c r="S208" s="72">
        <f t="shared" si="108"/>
        <v>3322</v>
      </c>
      <c r="T208" s="62">
        <f t="shared" si="75"/>
        <v>3322</v>
      </c>
    </row>
    <row r="209" spans="1:20">
      <c r="A209" s="100"/>
      <c r="B209" s="9"/>
      <c r="C209" s="9"/>
      <c r="D209" s="69"/>
      <c r="E209" s="69">
        <v>158</v>
      </c>
      <c r="F209" s="136" t="s">
        <v>84</v>
      </c>
      <c r="G209" s="26">
        <v>730</v>
      </c>
      <c r="H209" s="26">
        <v>730</v>
      </c>
      <c r="I209" s="26">
        <v>61</v>
      </c>
      <c r="J209" s="27">
        <v>730</v>
      </c>
      <c r="K209" s="35">
        <f>'1.02.'!M209</f>
        <v>0</v>
      </c>
      <c r="L209" s="27">
        <v>61</v>
      </c>
      <c r="M209" s="92">
        <f t="shared" si="105"/>
        <v>61</v>
      </c>
      <c r="N209" s="93">
        <f t="shared" si="94"/>
        <v>0</v>
      </c>
      <c r="O209" s="70">
        <f t="shared" si="79"/>
        <v>100</v>
      </c>
      <c r="P209" s="71">
        <f t="shared" si="106"/>
        <v>669</v>
      </c>
      <c r="Q209" s="35">
        <f t="shared" si="107"/>
        <v>0</v>
      </c>
      <c r="R209" s="72">
        <v>1103780</v>
      </c>
      <c r="S209" s="72">
        <f t="shared" si="108"/>
        <v>669</v>
      </c>
      <c r="T209" s="62">
        <f t="shared" si="75"/>
        <v>0</v>
      </c>
    </row>
    <row r="210" spans="1:20">
      <c r="A210" s="100"/>
      <c r="B210" s="9"/>
      <c r="C210" s="9"/>
      <c r="D210" s="69"/>
      <c r="E210" s="69">
        <v>159</v>
      </c>
      <c r="F210" s="136" t="s">
        <v>102</v>
      </c>
      <c r="G210" s="26">
        <v>16176</v>
      </c>
      <c r="H210" s="26">
        <v>8054</v>
      </c>
      <c r="I210" s="26">
        <v>767</v>
      </c>
      <c r="J210" s="27">
        <v>4082.7159999999999</v>
      </c>
      <c r="K210" s="35">
        <f>'1.02.'!M210</f>
        <v>0</v>
      </c>
      <c r="L210" s="27">
        <v>766.90806999999995</v>
      </c>
      <c r="M210" s="92">
        <f t="shared" si="105"/>
        <v>766.90806999999995</v>
      </c>
      <c r="N210" s="93">
        <f t="shared" si="94"/>
        <v>9.1930000000047585E-2</v>
      </c>
      <c r="O210" s="70">
        <f t="shared" si="79"/>
        <v>99.988014341590599</v>
      </c>
      <c r="P210" s="71">
        <f t="shared" si="106"/>
        <v>3315.8079299999999</v>
      </c>
      <c r="Q210" s="35">
        <f t="shared" si="107"/>
        <v>3971.2840000000001</v>
      </c>
      <c r="R210" s="72">
        <v>1103781</v>
      </c>
      <c r="S210" s="72">
        <f t="shared" si="108"/>
        <v>15409.091930000001</v>
      </c>
      <c r="T210" s="62">
        <f t="shared" si="75"/>
        <v>12093.284</v>
      </c>
    </row>
    <row r="211" spans="1:20">
      <c r="A211" s="100"/>
      <c r="B211" s="9"/>
      <c r="C211" s="9"/>
      <c r="D211" s="69"/>
      <c r="E211" s="69">
        <v>161</v>
      </c>
      <c r="F211" s="136" t="s">
        <v>103</v>
      </c>
      <c r="G211" s="26">
        <v>4231</v>
      </c>
      <c r="H211" s="26">
        <v>401</v>
      </c>
      <c r="I211" s="26">
        <v>401</v>
      </c>
      <c r="J211" s="27">
        <f t="shared" si="104"/>
        <v>401</v>
      </c>
      <c r="K211" s="35">
        <f>'1.02.'!M211</f>
        <v>0</v>
      </c>
      <c r="L211" s="27">
        <v>401</v>
      </c>
      <c r="M211" s="92">
        <f t="shared" si="105"/>
        <v>401</v>
      </c>
      <c r="N211" s="93">
        <f t="shared" si="94"/>
        <v>0</v>
      </c>
      <c r="O211" s="70">
        <f t="shared" si="79"/>
        <v>100</v>
      </c>
      <c r="P211" s="71">
        <f t="shared" si="106"/>
        <v>0</v>
      </c>
      <c r="Q211" s="35">
        <f t="shared" si="107"/>
        <v>0</v>
      </c>
      <c r="R211" s="72">
        <v>1103782</v>
      </c>
      <c r="S211" s="72">
        <f t="shared" si="108"/>
        <v>3830</v>
      </c>
      <c r="T211" s="62">
        <f t="shared" si="75"/>
        <v>3830</v>
      </c>
    </row>
    <row r="212" spans="1:20">
      <c r="A212" s="100"/>
      <c r="B212" s="9"/>
      <c r="C212" s="9"/>
      <c r="D212" s="69"/>
      <c r="E212" s="69">
        <v>169</v>
      </c>
      <c r="F212" s="136" t="s">
        <v>103</v>
      </c>
      <c r="G212" s="26">
        <v>63</v>
      </c>
      <c r="H212" s="26"/>
      <c r="I212" s="26"/>
      <c r="J212" s="27">
        <f t="shared" si="104"/>
        <v>0</v>
      </c>
      <c r="K212" s="35">
        <f>'1.02.'!M212</f>
        <v>0</v>
      </c>
      <c r="L212" s="27"/>
      <c r="M212" s="92">
        <f t="shared" si="105"/>
        <v>0</v>
      </c>
      <c r="N212" s="93">
        <f t="shared" si="94"/>
        <v>0</v>
      </c>
      <c r="O212" s="70" t="e">
        <f t="shared" si="79"/>
        <v>#DIV/0!</v>
      </c>
      <c r="P212" s="71">
        <f t="shared" si="106"/>
        <v>0</v>
      </c>
      <c r="Q212" s="35">
        <f t="shared" si="107"/>
        <v>0</v>
      </c>
      <c r="R212" s="72">
        <v>1103783</v>
      </c>
      <c r="S212" s="72">
        <f t="shared" si="108"/>
        <v>63</v>
      </c>
      <c r="T212" s="62">
        <f t="shared" si="75"/>
        <v>63</v>
      </c>
    </row>
    <row r="213" spans="1:20" ht="25.5" hidden="1">
      <c r="A213" s="100"/>
      <c r="B213" s="15"/>
      <c r="C213" s="57" t="s">
        <v>43</v>
      </c>
      <c r="D213" s="18"/>
      <c r="E213" s="115"/>
      <c r="F213" s="67" t="s">
        <v>44</v>
      </c>
      <c r="G213" s="59">
        <f t="shared" ref="G213:N214" si="109">G214</f>
        <v>0</v>
      </c>
      <c r="H213" s="59">
        <f t="shared" si="109"/>
        <v>0</v>
      </c>
      <c r="I213" s="59">
        <f t="shared" si="109"/>
        <v>0</v>
      </c>
      <c r="J213" s="33">
        <f t="shared" si="109"/>
        <v>0</v>
      </c>
      <c r="K213" s="35">
        <f>'1.02.'!M213</f>
        <v>0</v>
      </c>
      <c r="L213" s="59">
        <f t="shared" si="109"/>
        <v>0</v>
      </c>
      <c r="M213" s="59">
        <f t="shared" si="109"/>
        <v>0</v>
      </c>
      <c r="N213" s="59">
        <f t="shared" si="109"/>
        <v>0</v>
      </c>
      <c r="O213" s="70"/>
      <c r="P213" s="71">
        <f t="shared" si="106"/>
        <v>0</v>
      </c>
      <c r="Q213" s="35">
        <f t="shared" si="107"/>
        <v>0</v>
      </c>
      <c r="R213" s="72">
        <v>1103784</v>
      </c>
      <c r="S213" s="72">
        <f t="shared" si="108"/>
        <v>0</v>
      </c>
    </row>
    <row r="214" spans="1:20" hidden="1">
      <c r="A214" s="9"/>
      <c r="B214" s="12"/>
      <c r="C214" s="12"/>
      <c r="D214" s="11" t="s">
        <v>7</v>
      </c>
      <c r="E214" s="97"/>
      <c r="F214" s="4" t="s">
        <v>22</v>
      </c>
      <c r="G214" s="98">
        <f t="shared" si="109"/>
        <v>0</v>
      </c>
      <c r="H214" s="98">
        <f t="shared" si="109"/>
        <v>0</v>
      </c>
      <c r="I214" s="98">
        <f t="shared" si="109"/>
        <v>0</v>
      </c>
      <c r="J214" s="99">
        <f>J215</f>
        <v>0</v>
      </c>
      <c r="K214" s="35">
        <f>'1.02.'!M214</f>
        <v>0</v>
      </c>
      <c r="L214" s="98">
        <f t="shared" si="109"/>
        <v>0</v>
      </c>
      <c r="M214" s="98">
        <f t="shared" si="109"/>
        <v>0</v>
      </c>
      <c r="N214" s="98">
        <f t="shared" si="109"/>
        <v>0</v>
      </c>
      <c r="O214" s="68" t="e">
        <f>M214/I214*100</f>
        <v>#DIV/0!</v>
      </c>
      <c r="P214" s="71">
        <f t="shared" si="106"/>
        <v>0</v>
      </c>
      <c r="Q214" s="35">
        <f t="shared" si="107"/>
        <v>0</v>
      </c>
      <c r="R214" s="72">
        <v>1103785</v>
      </c>
      <c r="S214" s="72">
        <f t="shared" si="108"/>
        <v>0</v>
      </c>
      <c r="T214" s="62">
        <f>G214-J214</f>
        <v>0</v>
      </c>
    </row>
    <row r="215" spans="1:20" ht="25.5" hidden="1">
      <c r="A215" s="100"/>
      <c r="B215" s="15"/>
      <c r="C215" s="15"/>
      <c r="D215" s="16"/>
      <c r="E215" s="20">
        <v>414</v>
      </c>
      <c r="F215" s="86" t="s">
        <v>64</v>
      </c>
      <c r="G215" s="37"/>
      <c r="H215" s="37"/>
      <c r="I215" s="37"/>
      <c r="J215" s="75">
        <f>M215</f>
        <v>0</v>
      </c>
      <c r="K215" s="35">
        <f>'1.02.'!M215</f>
        <v>0</v>
      </c>
      <c r="L215" s="35"/>
      <c r="M215" s="93">
        <f t="shared" ref="M215" si="110">K215+L215</f>
        <v>0</v>
      </c>
      <c r="N215" s="93">
        <f t="shared" ref="N215" si="111">I215-M215</f>
        <v>0</v>
      </c>
      <c r="O215" s="70" t="e">
        <f>M215/I215*100</f>
        <v>#DIV/0!</v>
      </c>
      <c r="P215" s="71">
        <f t="shared" si="106"/>
        <v>0</v>
      </c>
      <c r="Q215" s="35">
        <f t="shared" si="107"/>
        <v>0</v>
      </c>
      <c r="R215" s="72">
        <v>1103786</v>
      </c>
      <c r="S215" s="72">
        <f t="shared" si="108"/>
        <v>0</v>
      </c>
    </row>
    <row r="216" spans="1:20" s="73" customFormat="1" ht="38.25">
      <c r="A216" s="100"/>
      <c r="B216" s="17">
        <v>1267</v>
      </c>
      <c r="C216" s="8"/>
      <c r="D216" s="21"/>
      <c r="E216" s="21"/>
      <c r="F216" s="139" t="s">
        <v>126</v>
      </c>
      <c r="G216" s="42">
        <f t="shared" ref="G216:N216" si="112">G217+G220+G238+G242+G260</f>
        <v>7960352</v>
      </c>
      <c r="H216" s="42">
        <f t="shared" si="112"/>
        <v>427892</v>
      </c>
      <c r="I216" s="42">
        <f t="shared" si="112"/>
        <v>396715</v>
      </c>
      <c r="J216" s="29">
        <f t="shared" si="112"/>
        <v>425959.88952999999</v>
      </c>
      <c r="K216" s="29">
        <f>'1.02.'!M216</f>
        <v>60896.595510000006</v>
      </c>
      <c r="L216" s="42">
        <f t="shared" si="112"/>
        <v>335397.62160999997</v>
      </c>
      <c r="M216" s="29">
        <f t="shared" si="112"/>
        <v>396294.21711999999</v>
      </c>
      <c r="N216" s="29">
        <f t="shared" si="112"/>
        <v>420.78288000000407</v>
      </c>
      <c r="O216" s="68">
        <f t="shared" si="79"/>
        <v>99.89393320645803</v>
      </c>
      <c r="P216" s="71">
        <f t="shared" si="106"/>
        <v>29665.672409999999</v>
      </c>
      <c r="Q216" s="35">
        <f t="shared" si="107"/>
        <v>1932.1104700000142</v>
      </c>
      <c r="R216" s="72">
        <v>1103787</v>
      </c>
      <c r="S216" s="72">
        <f t="shared" si="108"/>
        <v>7564057.7828799998</v>
      </c>
      <c r="T216" s="62">
        <f t="shared" si="75"/>
        <v>7534392.1104699997</v>
      </c>
    </row>
    <row r="217" spans="1:20" ht="25.5">
      <c r="A217" s="103"/>
      <c r="B217" s="8"/>
      <c r="C217" s="17" t="s">
        <v>28</v>
      </c>
      <c r="D217" s="21"/>
      <c r="E217" s="21"/>
      <c r="F217" s="125" t="s">
        <v>127</v>
      </c>
      <c r="G217" s="23">
        <f>G218</f>
        <v>19620</v>
      </c>
      <c r="H217" s="23">
        <f t="shared" ref="H217:O218" si="113">H218</f>
        <v>0</v>
      </c>
      <c r="I217" s="23">
        <f t="shared" si="113"/>
        <v>0</v>
      </c>
      <c r="J217" s="38">
        <f t="shared" si="113"/>
        <v>0</v>
      </c>
      <c r="K217" s="35">
        <f>'1.02.'!M217</f>
        <v>0</v>
      </c>
      <c r="L217" s="23">
        <f t="shared" si="113"/>
        <v>0</v>
      </c>
      <c r="M217" s="25">
        <f t="shared" si="113"/>
        <v>0</v>
      </c>
      <c r="N217" s="23">
        <f t="shared" si="113"/>
        <v>0</v>
      </c>
      <c r="O217" s="39" t="e">
        <f t="shared" si="113"/>
        <v>#DIV/0!</v>
      </c>
      <c r="P217" s="71">
        <f t="shared" si="106"/>
        <v>0</v>
      </c>
      <c r="Q217" s="35">
        <f t="shared" si="107"/>
        <v>0</v>
      </c>
      <c r="R217" s="72">
        <v>1103788</v>
      </c>
      <c r="S217" s="72">
        <f t="shared" si="108"/>
        <v>19620</v>
      </c>
    </row>
    <row r="218" spans="1:20">
      <c r="A218" s="100"/>
      <c r="B218" s="8"/>
      <c r="C218" s="8"/>
      <c r="D218" s="17" t="s">
        <v>7</v>
      </c>
      <c r="E218" s="10"/>
      <c r="F218" s="140" t="s">
        <v>85</v>
      </c>
      <c r="G218" s="59">
        <f>G219</f>
        <v>19620</v>
      </c>
      <c r="H218" s="59">
        <f t="shared" si="113"/>
        <v>0</v>
      </c>
      <c r="I218" s="59">
        <f t="shared" si="113"/>
        <v>0</v>
      </c>
      <c r="J218" s="59">
        <f t="shared" si="113"/>
        <v>0</v>
      </c>
      <c r="K218" s="35">
        <f>'1.02.'!M218</f>
        <v>0</v>
      </c>
      <c r="L218" s="59">
        <f t="shared" si="113"/>
        <v>0</v>
      </c>
      <c r="M218" s="59">
        <f t="shared" si="113"/>
        <v>0</v>
      </c>
      <c r="N218" s="59">
        <f t="shared" si="113"/>
        <v>0</v>
      </c>
      <c r="O218" s="68" t="e">
        <f>M218/I218*100</f>
        <v>#DIV/0!</v>
      </c>
      <c r="P218" s="71">
        <f t="shared" si="106"/>
        <v>0</v>
      </c>
      <c r="Q218" s="35">
        <f t="shared" si="107"/>
        <v>0</v>
      </c>
      <c r="R218" s="72">
        <v>1103789</v>
      </c>
      <c r="S218" s="72">
        <f t="shared" si="108"/>
        <v>19620</v>
      </c>
    </row>
    <row r="219" spans="1:20">
      <c r="A219" s="100"/>
      <c r="B219" s="9"/>
      <c r="C219" s="9"/>
      <c r="D219" s="69"/>
      <c r="E219" s="69">
        <v>159</v>
      </c>
      <c r="F219" s="136" t="s">
        <v>84</v>
      </c>
      <c r="G219" s="26">
        <v>19620</v>
      </c>
      <c r="H219" s="26"/>
      <c r="I219" s="26"/>
      <c r="J219" s="105">
        <f>M219</f>
        <v>0</v>
      </c>
      <c r="K219" s="35">
        <f>'1.02.'!M219</f>
        <v>0</v>
      </c>
      <c r="L219" s="27"/>
      <c r="M219" s="92">
        <f>K219+L219</f>
        <v>0</v>
      </c>
      <c r="N219" s="93">
        <f>I219-M219</f>
        <v>0</v>
      </c>
      <c r="O219" s="70" t="e">
        <f>M219/I219*100</f>
        <v>#DIV/0!</v>
      </c>
      <c r="P219" s="71">
        <f t="shared" si="106"/>
        <v>0</v>
      </c>
      <c r="Q219" s="35">
        <f t="shared" si="107"/>
        <v>0</v>
      </c>
      <c r="R219" s="72">
        <v>1103790</v>
      </c>
      <c r="S219" s="72">
        <f t="shared" si="108"/>
        <v>19620</v>
      </c>
    </row>
    <row r="220" spans="1:20" s="95" customFormat="1" ht="51">
      <c r="A220" s="100"/>
      <c r="B220" s="8"/>
      <c r="C220" s="17" t="s">
        <v>29</v>
      </c>
      <c r="D220" s="21"/>
      <c r="E220" s="21"/>
      <c r="F220" s="139" t="s">
        <v>128</v>
      </c>
      <c r="G220" s="59">
        <f>G221</f>
        <v>947699</v>
      </c>
      <c r="H220" s="59">
        <f t="shared" ref="H220:N220" si="114">H221</f>
        <v>168298</v>
      </c>
      <c r="I220" s="59">
        <f t="shared" si="114"/>
        <v>137121</v>
      </c>
      <c r="J220" s="29">
        <f>J221</f>
        <v>166366.15049999999</v>
      </c>
      <c r="K220" s="29">
        <f>'1.02.'!M220</f>
        <v>53134.957510000007</v>
      </c>
      <c r="L220" s="59">
        <f t="shared" si="114"/>
        <v>83565.520580000011</v>
      </c>
      <c r="M220" s="59">
        <f t="shared" si="114"/>
        <v>136700.47809000002</v>
      </c>
      <c r="N220" s="59">
        <f t="shared" si="114"/>
        <v>420.52190999998129</v>
      </c>
      <c r="O220" s="68">
        <f>M220/I220*100</f>
        <v>99.693320563589836</v>
      </c>
      <c r="P220" s="71">
        <f t="shared" si="106"/>
        <v>29665.67240999997</v>
      </c>
      <c r="Q220" s="35">
        <f t="shared" si="107"/>
        <v>1931.8495000000112</v>
      </c>
      <c r="R220" s="72">
        <v>1103791</v>
      </c>
      <c r="S220" s="72">
        <f t="shared" si="108"/>
        <v>810998.52191000001</v>
      </c>
      <c r="T220" s="62">
        <f t="shared" si="75"/>
        <v>781332.84950000001</v>
      </c>
    </row>
    <row r="221" spans="1:20">
      <c r="A221" s="100"/>
      <c r="B221" s="8"/>
      <c r="C221" s="8"/>
      <c r="D221" s="17" t="s">
        <v>7</v>
      </c>
      <c r="E221" s="10"/>
      <c r="F221" s="140" t="s">
        <v>85</v>
      </c>
      <c r="G221" s="59">
        <f>SUM(G222:G237)</f>
        <v>947699</v>
      </c>
      <c r="H221" s="59">
        <f t="shared" ref="H221:I221" si="115">SUM(H222:H237)</f>
        <v>168298</v>
      </c>
      <c r="I221" s="59">
        <f t="shared" si="115"/>
        <v>137121</v>
      </c>
      <c r="J221" s="29">
        <f>SUM(J222:J237)</f>
        <v>166366.15049999999</v>
      </c>
      <c r="K221" s="29">
        <f>'1.02.'!M221</f>
        <v>53134.957510000007</v>
      </c>
      <c r="L221" s="29">
        <f t="shared" ref="L221" si="116">SUM(L222:L237)</f>
        <v>83565.520580000011</v>
      </c>
      <c r="M221" s="102">
        <f t="shared" ref="M221:M247" si="117">K221+L221</f>
        <v>136700.47809000002</v>
      </c>
      <c r="N221" s="102">
        <f t="shared" ref="N221:N223" si="118">I221-M221</f>
        <v>420.52190999998129</v>
      </c>
      <c r="O221" s="68">
        <f>M221/I221*100</f>
        <v>99.693320563589836</v>
      </c>
      <c r="P221" s="71">
        <f t="shared" si="106"/>
        <v>29665.67240999997</v>
      </c>
      <c r="Q221" s="35">
        <f t="shared" si="107"/>
        <v>1931.8495000000112</v>
      </c>
      <c r="R221" s="72">
        <v>1103792</v>
      </c>
      <c r="S221" s="72">
        <f t="shared" si="108"/>
        <v>810998.52191000001</v>
      </c>
      <c r="T221" s="62">
        <f t="shared" ref="T221:T237" si="119">G221-J221</f>
        <v>781332.84950000001</v>
      </c>
    </row>
    <row r="222" spans="1:20">
      <c r="A222" s="100"/>
      <c r="B222" s="9"/>
      <c r="C222" s="9"/>
      <c r="D222" s="69"/>
      <c r="E222" s="69">
        <v>111</v>
      </c>
      <c r="F222" s="136" t="s">
        <v>86</v>
      </c>
      <c r="G222" s="26">
        <v>686021</v>
      </c>
      <c r="H222" s="26">
        <v>116500</v>
      </c>
      <c r="I222" s="26">
        <v>116500</v>
      </c>
      <c r="J222" s="105">
        <f>M222</f>
        <v>116500</v>
      </c>
      <c r="K222" s="35">
        <f>'1.02.'!M222</f>
        <v>49999.999000000003</v>
      </c>
      <c r="L222" s="27">
        <v>66500.001000000004</v>
      </c>
      <c r="M222" s="92">
        <f t="shared" si="117"/>
        <v>116500</v>
      </c>
      <c r="N222" s="93">
        <f t="shared" si="118"/>
        <v>0</v>
      </c>
      <c r="O222" s="70">
        <f t="shared" ref="O222:O237" si="120">M222/I222*100</f>
        <v>100</v>
      </c>
      <c r="P222" s="71">
        <f t="shared" si="106"/>
        <v>0</v>
      </c>
      <c r="Q222" s="35">
        <f t="shared" si="107"/>
        <v>0</v>
      </c>
      <c r="R222" s="72">
        <v>1103793</v>
      </c>
      <c r="S222" s="72">
        <f t="shared" si="108"/>
        <v>569521</v>
      </c>
      <c r="T222" s="62">
        <f t="shared" si="119"/>
        <v>569521</v>
      </c>
    </row>
    <row r="223" spans="1:20">
      <c r="A223" s="100"/>
      <c r="B223" s="9"/>
      <c r="C223" s="9"/>
      <c r="D223" s="69"/>
      <c r="E223" s="69">
        <v>112</v>
      </c>
      <c r="F223" s="136" t="s">
        <v>87</v>
      </c>
      <c r="G223" s="26"/>
      <c r="H223" s="26"/>
      <c r="I223" s="26"/>
      <c r="J223" s="105">
        <f t="shared" ref="J223:J229" si="121">M223</f>
        <v>0</v>
      </c>
      <c r="K223" s="35">
        <f>'1.02.'!M223</f>
        <v>0</v>
      </c>
      <c r="L223" s="27"/>
      <c r="M223" s="92">
        <f t="shared" si="117"/>
        <v>0</v>
      </c>
      <c r="N223" s="93">
        <f t="shared" si="118"/>
        <v>0</v>
      </c>
      <c r="O223" s="70" t="e">
        <f t="shared" si="120"/>
        <v>#DIV/0!</v>
      </c>
      <c r="P223" s="71">
        <f t="shared" si="106"/>
        <v>0</v>
      </c>
      <c r="Q223" s="35">
        <f t="shared" si="107"/>
        <v>0</v>
      </c>
      <c r="R223" s="72">
        <v>1103794</v>
      </c>
      <c r="S223" s="72">
        <f t="shared" si="108"/>
        <v>0</v>
      </c>
    </row>
    <row r="224" spans="1:20">
      <c r="A224" s="100"/>
      <c r="B224" s="9"/>
      <c r="C224" s="9"/>
      <c r="D224" s="69"/>
      <c r="E224" s="76">
        <v>113</v>
      </c>
      <c r="F224" s="136" t="s">
        <v>88</v>
      </c>
      <c r="G224" s="26">
        <v>32776</v>
      </c>
      <c r="H224" s="26">
        <v>1536</v>
      </c>
      <c r="I224" s="26">
        <v>1536</v>
      </c>
      <c r="J224" s="105">
        <f t="shared" si="121"/>
        <v>1536</v>
      </c>
      <c r="K224" s="35">
        <f>'1.02.'!M224</f>
        <v>360.31099999999998</v>
      </c>
      <c r="L224" s="27">
        <v>1175.6890000000001</v>
      </c>
      <c r="M224" s="92">
        <f t="shared" si="117"/>
        <v>1536</v>
      </c>
      <c r="N224" s="93">
        <f>I224-M224</f>
        <v>0</v>
      </c>
      <c r="O224" s="70">
        <f t="shared" si="120"/>
        <v>100</v>
      </c>
      <c r="P224" s="71">
        <f t="shared" si="106"/>
        <v>0</v>
      </c>
      <c r="Q224" s="35">
        <f t="shared" si="107"/>
        <v>0</v>
      </c>
      <c r="R224" s="72">
        <v>1103795</v>
      </c>
      <c r="S224" s="72">
        <f t="shared" si="108"/>
        <v>31240</v>
      </c>
      <c r="T224" s="62">
        <f t="shared" si="119"/>
        <v>31240</v>
      </c>
    </row>
    <row r="225" spans="1:20">
      <c r="A225" s="100"/>
      <c r="B225" s="9"/>
      <c r="C225" s="9"/>
      <c r="D225" s="69"/>
      <c r="E225" s="69">
        <v>116</v>
      </c>
      <c r="F225" s="136" t="s">
        <v>89</v>
      </c>
      <c r="G225" s="26">
        <v>24011</v>
      </c>
      <c r="H225" s="26">
        <v>2410</v>
      </c>
      <c r="I225" s="26">
        <v>2410</v>
      </c>
      <c r="J225" s="105">
        <f t="shared" si="121"/>
        <v>2410</v>
      </c>
      <c r="K225" s="35">
        <f>'1.02.'!M225</f>
        <v>81.260000000000005</v>
      </c>
      <c r="L225" s="27">
        <v>2328.7399999999998</v>
      </c>
      <c r="M225" s="92">
        <f>K225+L225</f>
        <v>2410</v>
      </c>
      <c r="N225" s="93">
        <f>I225-M225</f>
        <v>0</v>
      </c>
      <c r="O225" s="70">
        <f>M225/I225*100</f>
        <v>100</v>
      </c>
      <c r="P225" s="71">
        <f t="shared" si="106"/>
        <v>0</v>
      </c>
      <c r="Q225" s="35">
        <f t="shared" si="107"/>
        <v>0</v>
      </c>
      <c r="R225" s="72">
        <v>1103796</v>
      </c>
      <c r="S225" s="72">
        <f t="shared" si="108"/>
        <v>21601</v>
      </c>
    </row>
    <row r="226" spans="1:20">
      <c r="A226" s="100"/>
      <c r="B226" s="9"/>
      <c r="C226" s="9"/>
      <c r="D226" s="69"/>
      <c r="E226" s="69">
        <v>121</v>
      </c>
      <c r="F226" s="136" t="s">
        <v>90</v>
      </c>
      <c r="G226" s="26">
        <v>35536</v>
      </c>
      <c r="H226" s="26">
        <v>3553</v>
      </c>
      <c r="I226" s="26">
        <v>3553</v>
      </c>
      <c r="J226" s="105">
        <f t="shared" si="121"/>
        <v>3553</v>
      </c>
      <c r="K226" s="35">
        <f>'1.02.'!M226</f>
        <v>0</v>
      </c>
      <c r="L226" s="27">
        <v>3553</v>
      </c>
      <c r="M226" s="92">
        <f>K226+L226</f>
        <v>3553</v>
      </c>
      <c r="N226" s="93">
        <f>I226-M226</f>
        <v>0</v>
      </c>
      <c r="O226" s="70">
        <f>M226/I226*100</f>
        <v>100</v>
      </c>
      <c r="P226" s="71">
        <f t="shared" si="106"/>
        <v>0</v>
      </c>
      <c r="Q226" s="35">
        <f t="shared" si="107"/>
        <v>0</v>
      </c>
      <c r="R226" s="72">
        <v>1103797</v>
      </c>
      <c r="S226" s="72">
        <f t="shared" si="108"/>
        <v>31983</v>
      </c>
      <c r="T226" s="62">
        <f t="shared" si="119"/>
        <v>31983</v>
      </c>
    </row>
    <row r="227" spans="1:20" ht="25.5">
      <c r="A227" s="100"/>
      <c r="B227" s="9"/>
      <c r="C227" s="9"/>
      <c r="D227" s="69"/>
      <c r="E227" s="69">
        <v>122</v>
      </c>
      <c r="F227" s="136" t="s">
        <v>91</v>
      </c>
      <c r="G227" s="26">
        <v>30871</v>
      </c>
      <c r="H227" s="26">
        <v>4657</v>
      </c>
      <c r="I227" s="26">
        <v>4657</v>
      </c>
      <c r="J227" s="105">
        <f t="shared" si="121"/>
        <v>4657</v>
      </c>
      <c r="K227" s="35">
        <f>'1.02.'!M227</f>
        <v>1568.713</v>
      </c>
      <c r="L227" s="27">
        <v>3088.2869999999998</v>
      </c>
      <c r="M227" s="92">
        <f t="shared" si="117"/>
        <v>4657</v>
      </c>
      <c r="N227" s="93">
        <f t="shared" ref="N227:N244" si="122">I227-M227</f>
        <v>0</v>
      </c>
      <c r="O227" s="70">
        <f t="shared" si="120"/>
        <v>100</v>
      </c>
      <c r="P227" s="71">
        <f t="shared" si="106"/>
        <v>0</v>
      </c>
      <c r="Q227" s="35">
        <f t="shared" si="107"/>
        <v>0</v>
      </c>
      <c r="R227" s="72">
        <v>1103798</v>
      </c>
      <c r="S227" s="72">
        <f t="shared" si="108"/>
        <v>26214</v>
      </c>
      <c r="T227" s="62">
        <f t="shared" si="119"/>
        <v>26214</v>
      </c>
    </row>
    <row r="228" spans="1:20">
      <c r="A228" s="100"/>
      <c r="B228" s="9"/>
      <c r="C228" s="9"/>
      <c r="D228" s="69"/>
      <c r="E228" s="69">
        <v>123</v>
      </c>
      <c r="F228" s="136" t="s">
        <v>92</v>
      </c>
      <c r="G228" s="26">
        <v>342</v>
      </c>
      <c r="H228" s="26"/>
      <c r="I228" s="26"/>
      <c r="J228" s="105">
        <f t="shared" si="121"/>
        <v>0</v>
      </c>
      <c r="K228" s="35">
        <f>'1.02.'!M228</f>
        <v>0</v>
      </c>
      <c r="L228" s="27"/>
      <c r="M228" s="92">
        <f t="shared" si="117"/>
        <v>0</v>
      </c>
      <c r="N228" s="93">
        <f t="shared" si="122"/>
        <v>0</v>
      </c>
      <c r="O228" s="70" t="e">
        <f t="shared" si="120"/>
        <v>#DIV/0!</v>
      </c>
      <c r="P228" s="71">
        <f t="shared" si="106"/>
        <v>0</v>
      </c>
      <c r="Q228" s="35">
        <f t="shared" si="107"/>
        <v>0</v>
      </c>
      <c r="R228" s="72">
        <v>1103799</v>
      </c>
      <c r="S228" s="72">
        <f t="shared" si="108"/>
        <v>342</v>
      </c>
    </row>
    <row r="229" spans="1:20">
      <c r="A229" s="100"/>
      <c r="B229" s="9"/>
      <c r="C229" s="9"/>
      <c r="D229" s="69"/>
      <c r="E229" s="69">
        <v>124</v>
      </c>
      <c r="F229" s="136" t="s">
        <v>93</v>
      </c>
      <c r="G229" s="26">
        <v>20581</v>
      </c>
      <c r="H229" s="26">
        <v>1995</v>
      </c>
      <c r="I229" s="26">
        <v>1995</v>
      </c>
      <c r="J229" s="105">
        <f t="shared" si="121"/>
        <v>1995</v>
      </c>
      <c r="K229" s="35">
        <f>'1.02.'!M229</f>
        <v>0</v>
      </c>
      <c r="L229" s="27">
        <v>1995</v>
      </c>
      <c r="M229" s="92">
        <f t="shared" si="117"/>
        <v>1995</v>
      </c>
      <c r="N229" s="93">
        <f t="shared" si="122"/>
        <v>0</v>
      </c>
      <c r="O229" s="70">
        <f t="shared" si="120"/>
        <v>100</v>
      </c>
      <c r="P229" s="71">
        <f t="shared" si="106"/>
        <v>0</v>
      </c>
      <c r="Q229" s="35">
        <f t="shared" si="107"/>
        <v>0</v>
      </c>
      <c r="R229" s="72">
        <v>1103800</v>
      </c>
      <c r="S229" s="72">
        <f t="shared" si="108"/>
        <v>18586</v>
      </c>
      <c r="T229" s="62">
        <f t="shared" si="119"/>
        <v>18586</v>
      </c>
    </row>
    <row r="230" spans="1:20">
      <c r="A230" s="100"/>
      <c r="B230" s="9"/>
      <c r="C230" s="9"/>
      <c r="D230" s="69"/>
      <c r="E230" s="69">
        <v>144</v>
      </c>
      <c r="F230" s="136" t="s">
        <v>97</v>
      </c>
      <c r="G230" s="26">
        <v>9873</v>
      </c>
      <c r="H230" s="26">
        <v>9873</v>
      </c>
      <c r="I230" s="26">
        <v>820</v>
      </c>
      <c r="J230" s="105">
        <v>8921.0878400000001</v>
      </c>
      <c r="K230" s="35">
        <f>'1.02.'!M230</f>
        <v>0</v>
      </c>
      <c r="L230" s="27">
        <v>820</v>
      </c>
      <c r="M230" s="92">
        <f t="shared" si="117"/>
        <v>820</v>
      </c>
      <c r="N230" s="93">
        <f t="shared" si="122"/>
        <v>0</v>
      </c>
      <c r="O230" s="70">
        <f t="shared" si="120"/>
        <v>100</v>
      </c>
      <c r="P230" s="71">
        <f t="shared" si="106"/>
        <v>8101.0878400000001</v>
      </c>
      <c r="Q230" s="35">
        <f t="shared" si="107"/>
        <v>951.91215999999986</v>
      </c>
      <c r="R230" s="72">
        <v>1103801</v>
      </c>
      <c r="S230" s="72">
        <f t="shared" si="108"/>
        <v>9053</v>
      </c>
      <c r="T230" s="62">
        <f t="shared" si="119"/>
        <v>951.91215999999986</v>
      </c>
    </row>
    <row r="231" spans="1:20">
      <c r="A231" s="100"/>
      <c r="B231" s="9"/>
      <c r="C231" s="9"/>
      <c r="D231" s="69"/>
      <c r="E231" s="69">
        <v>149</v>
      </c>
      <c r="F231" s="136" t="s">
        <v>98</v>
      </c>
      <c r="G231" s="26">
        <v>21813</v>
      </c>
      <c r="H231" s="26"/>
      <c r="I231" s="26"/>
      <c r="J231" s="105">
        <f t="shared" ref="J231:J237" si="123">M231</f>
        <v>0</v>
      </c>
      <c r="K231" s="35">
        <f>'1.02.'!M231</f>
        <v>0</v>
      </c>
      <c r="L231" s="27"/>
      <c r="M231" s="92">
        <f t="shared" si="117"/>
        <v>0</v>
      </c>
      <c r="N231" s="93">
        <f t="shared" si="122"/>
        <v>0</v>
      </c>
      <c r="O231" s="70" t="e">
        <f t="shared" si="120"/>
        <v>#DIV/0!</v>
      </c>
      <c r="P231" s="71">
        <f t="shared" si="106"/>
        <v>0</v>
      </c>
      <c r="Q231" s="35">
        <f t="shared" si="107"/>
        <v>0</v>
      </c>
      <c r="R231" s="72">
        <v>1103802</v>
      </c>
      <c r="S231" s="72">
        <f t="shared" si="108"/>
        <v>21813</v>
      </c>
      <c r="T231" s="62">
        <f t="shared" si="119"/>
        <v>21813</v>
      </c>
    </row>
    <row r="232" spans="1:20">
      <c r="A232" s="100"/>
      <c r="B232" s="9"/>
      <c r="C232" s="9"/>
      <c r="D232" s="69"/>
      <c r="E232" s="69">
        <v>151</v>
      </c>
      <c r="F232" s="136" t="s">
        <v>99</v>
      </c>
      <c r="G232" s="26">
        <v>10168</v>
      </c>
      <c r="H232" s="26">
        <v>2540</v>
      </c>
      <c r="I232" s="26">
        <v>2540</v>
      </c>
      <c r="J232" s="105">
        <f>M232</f>
        <v>2536.48722</v>
      </c>
      <c r="K232" s="35">
        <f>'1.02.'!M232</f>
        <v>1093.6782800000001</v>
      </c>
      <c r="L232" s="27">
        <v>1442.8089399999999</v>
      </c>
      <c r="M232" s="92">
        <f t="shared" si="117"/>
        <v>2536.48722</v>
      </c>
      <c r="N232" s="93">
        <f t="shared" si="122"/>
        <v>3.5127800000000207</v>
      </c>
      <c r="O232" s="70">
        <f t="shared" si="120"/>
        <v>99.861701574803149</v>
      </c>
      <c r="P232" s="71">
        <f t="shared" si="106"/>
        <v>0</v>
      </c>
      <c r="Q232" s="35">
        <f t="shared" si="107"/>
        <v>3.5127800000000207</v>
      </c>
      <c r="R232" s="72">
        <v>1103803</v>
      </c>
      <c r="S232" s="72">
        <f t="shared" si="108"/>
        <v>7631.51278</v>
      </c>
      <c r="T232" s="62">
        <f t="shared" si="119"/>
        <v>7631.51278</v>
      </c>
    </row>
    <row r="233" spans="1:20">
      <c r="A233" s="100"/>
      <c r="B233" s="9"/>
      <c r="C233" s="9"/>
      <c r="D233" s="69"/>
      <c r="E233" s="69">
        <v>152</v>
      </c>
      <c r="F233" s="136" t="s">
        <v>100</v>
      </c>
      <c r="G233" s="26">
        <v>34000</v>
      </c>
      <c r="H233" s="26">
        <v>6661</v>
      </c>
      <c r="I233" s="26">
        <v>855</v>
      </c>
      <c r="J233" s="105">
        <v>5919.17148</v>
      </c>
      <c r="K233" s="35">
        <f>'1.02.'!M233</f>
        <v>30.996230000000001</v>
      </c>
      <c r="L233" s="27">
        <v>407.24464</v>
      </c>
      <c r="M233" s="92">
        <f t="shared" si="117"/>
        <v>438.24087000000003</v>
      </c>
      <c r="N233" s="93">
        <f t="shared" si="122"/>
        <v>416.75912999999997</v>
      </c>
      <c r="O233" s="70">
        <f t="shared" si="120"/>
        <v>51.256242105263162</v>
      </c>
      <c r="P233" s="71">
        <f t="shared" si="106"/>
        <v>5480.9306100000003</v>
      </c>
      <c r="Q233" s="35">
        <f t="shared" si="107"/>
        <v>741.82852000000003</v>
      </c>
      <c r="R233" s="72">
        <v>1103804</v>
      </c>
      <c r="S233" s="72">
        <f t="shared" si="108"/>
        <v>33561.759129999999</v>
      </c>
      <c r="T233" s="62">
        <f t="shared" si="119"/>
        <v>28080.828519999999</v>
      </c>
    </row>
    <row r="234" spans="1:20" ht="25.5">
      <c r="A234" s="100"/>
      <c r="B234" s="9"/>
      <c r="C234" s="9"/>
      <c r="D234" s="69"/>
      <c r="E234" s="69">
        <v>158</v>
      </c>
      <c r="F234" s="136" t="s">
        <v>101</v>
      </c>
      <c r="G234" s="26">
        <v>3657</v>
      </c>
      <c r="H234" s="26">
        <v>3657</v>
      </c>
      <c r="I234" s="26">
        <v>305</v>
      </c>
      <c r="J234" s="105">
        <v>3657</v>
      </c>
      <c r="K234" s="35">
        <f>'1.02.'!M234</f>
        <v>0</v>
      </c>
      <c r="L234" s="27">
        <v>304.75</v>
      </c>
      <c r="M234" s="92">
        <f t="shared" si="117"/>
        <v>304.75</v>
      </c>
      <c r="N234" s="93">
        <f t="shared" si="122"/>
        <v>0.25</v>
      </c>
      <c r="O234" s="70">
        <f t="shared" si="120"/>
        <v>99.918032786885249</v>
      </c>
      <c r="P234" s="71">
        <f t="shared" si="106"/>
        <v>3352.25</v>
      </c>
      <c r="Q234" s="35">
        <f t="shared" si="107"/>
        <v>0</v>
      </c>
      <c r="R234" s="72">
        <v>1103805</v>
      </c>
      <c r="S234" s="72">
        <f t="shared" si="108"/>
        <v>3352.25</v>
      </c>
      <c r="T234" s="62">
        <f t="shared" si="119"/>
        <v>0</v>
      </c>
    </row>
    <row r="235" spans="1:20">
      <c r="A235" s="100"/>
      <c r="B235" s="9"/>
      <c r="C235" s="9"/>
      <c r="D235" s="69"/>
      <c r="E235" s="69">
        <v>159</v>
      </c>
      <c r="F235" s="136" t="s">
        <v>84</v>
      </c>
      <c r="G235" s="26">
        <v>28010</v>
      </c>
      <c r="H235" s="26">
        <v>14266</v>
      </c>
      <c r="I235" s="26">
        <v>1300</v>
      </c>
      <c r="J235" s="105">
        <v>14031.40396</v>
      </c>
      <c r="K235" s="35">
        <f>'1.02.'!M235</f>
        <v>0</v>
      </c>
      <c r="L235" s="27">
        <v>1300</v>
      </c>
      <c r="M235" s="92">
        <f t="shared" si="117"/>
        <v>1300</v>
      </c>
      <c r="N235" s="93">
        <f t="shared" si="122"/>
        <v>0</v>
      </c>
      <c r="O235" s="70">
        <f t="shared" si="120"/>
        <v>100</v>
      </c>
      <c r="P235" s="71">
        <f t="shared" si="106"/>
        <v>12731.40396</v>
      </c>
      <c r="Q235" s="35">
        <f t="shared" si="107"/>
        <v>234.59604000000036</v>
      </c>
      <c r="R235" s="72">
        <v>1103806</v>
      </c>
      <c r="S235" s="72">
        <f t="shared" si="108"/>
        <v>26710</v>
      </c>
      <c r="T235" s="62">
        <f t="shared" si="119"/>
        <v>13978.59604</v>
      </c>
    </row>
    <row r="236" spans="1:20">
      <c r="A236" s="100"/>
      <c r="B236" s="9"/>
      <c r="C236" s="9"/>
      <c r="D236" s="69"/>
      <c r="E236" s="69">
        <v>161</v>
      </c>
      <c r="F236" s="136" t="s">
        <v>102</v>
      </c>
      <c r="G236" s="26">
        <v>9868</v>
      </c>
      <c r="H236" s="26">
        <v>650</v>
      </c>
      <c r="I236" s="26">
        <v>650</v>
      </c>
      <c r="J236" s="105">
        <f t="shared" si="123"/>
        <v>650</v>
      </c>
      <c r="K236" s="35">
        <f>'1.02.'!M236</f>
        <v>0</v>
      </c>
      <c r="L236" s="27">
        <v>650</v>
      </c>
      <c r="M236" s="92">
        <f t="shared" si="117"/>
        <v>650</v>
      </c>
      <c r="N236" s="93">
        <f t="shared" si="122"/>
        <v>0</v>
      </c>
      <c r="O236" s="70">
        <f t="shared" si="120"/>
        <v>100</v>
      </c>
      <c r="P236" s="71">
        <f t="shared" si="106"/>
        <v>0</v>
      </c>
      <c r="Q236" s="35">
        <f t="shared" si="107"/>
        <v>0</v>
      </c>
      <c r="R236" s="72">
        <v>1103807</v>
      </c>
      <c r="S236" s="72">
        <f t="shared" si="108"/>
        <v>9218</v>
      </c>
      <c r="T236" s="62">
        <f t="shared" si="119"/>
        <v>9218</v>
      </c>
    </row>
    <row r="237" spans="1:20">
      <c r="A237" s="100"/>
      <c r="B237" s="9"/>
      <c r="C237" s="9"/>
      <c r="D237" s="69"/>
      <c r="E237" s="69">
        <v>169</v>
      </c>
      <c r="F237" s="136" t="s">
        <v>103</v>
      </c>
      <c r="G237" s="26">
        <v>172</v>
      </c>
      <c r="H237" s="26"/>
      <c r="I237" s="26"/>
      <c r="J237" s="105">
        <f t="shared" si="123"/>
        <v>0</v>
      </c>
      <c r="K237" s="35">
        <f>'1.02.'!M237</f>
        <v>0</v>
      </c>
      <c r="L237" s="27"/>
      <c r="M237" s="92">
        <f>K237+L237</f>
        <v>0</v>
      </c>
      <c r="N237" s="93">
        <f t="shared" si="122"/>
        <v>0</v>
      </c>
      <c r="O237" s="70" t="e">
        <f t="shared" si="120"/>
        <v>#DIV/0!</v>
      </c>
      <c r="P237" s="71">
        <f t="shared" si="106"/>
        <v>0</v>
      </c>
      <c r="Q237" s="35">
        <f t="shared" si="107"/>
        <v>0</v>
      </c>
      <c r="R237" s="72">
        <v>1103808</v>
      </c>
      <c r="S237" s="72">
        <f t="shared" si="108"/>
        <v>172</v>
      </c>
      <c r="T237" s="62">
        <f t="shared" si="119"/>
        <v>172</v>
      </c>
    </row>
    <row r="238" spans="1:20" ht="25.5">
      <c r="A238" s="100"/>
      <c r="B238" s="15"/>
      <c r="C238" s="57" t="s">
        <v>43</v>
      </c>
      <c r="D238" s="16"/>
      <c r="E238" s="20"/>
      <c r="F238" s="139" t="s">
        <v>119</v>
      </c>
      <c r="G238" s="59">
        <f t="shared" ref="G238:N238" si="124">G239</f>
        <v>0</v>
      </c>
      <c r="H238" s="59">
        <f t="shared" si="124"/>
        <v>0</v>
      </c>
      <c r="I238" s="59">
        <f t="shared" si="124"/>
        <v>0</v>
      </c>
      <c r="J238" s="29">
        <f t="shared" si="124"/>
        <v>0</v>
      </c>
      <c r="K238" s="35">
        <f>'1.02.'!M238</f>
        <v>0</v>
      </c>
      <c r="L238" s="29">
        <f t="shared" si="124"/>
        <v>0</v>
      </c>
      <c r="M238" s="29">
        <f t="shared" si="124"/>
        <v>0</v>
      </c>
      <c r="N238" s="29">
        <f t="shared" si="124"/>
        <v>0</v>
      </c>
      <c r="O238" s="70"/>
      <c r="P238" s="71">
        <f t="shared" si="106"/>
        <v>0</v>
      </c>
      <c r="Q238" s="35">
        <f t="shared" si="107"/>
        <v>0</v>
      </c>
      <c r="R238" s="72">
        <v>1103809</v>
      </c>
      <c r="S238" s="72">
        <f t="shared" si="108"/>
        <v>0</v>
      </c>
    </row>
    <row r="239" spans="1:20">
      <c r="A239" s="9"/>
      <c r="B239" s="12"/>
      <c r="C239" s="12"/>
      <c r="D239" s="11" t="s">
        <v>7</v>
      </c>
      <c r="E239" s="97"/>
      <c r="F239" s="122" t="s">
        <v>85</v>
      </c>
      <c r="G239" s="98">
        <f>G240+G241</f>
        <v>0</v>
      </c>
      <c r="H239" s="98">
        <f t="shared" ref="H239:N239" si="125">H240+H241</f>
        <v>0</v>
      </c>
      <c r="I239" s="98">
        <f t="shared" si="125"/>
        <v>0</v>
      </c>
      <c r="J239" s="98">
        <f t="shared" si="125"/>
        <v>0</v>
      </c>
      <c r="K239" s="35">
        <f>'1.02.'!M239</f>
        <v>0</v>
      </c>
      <c r="L239" s="32">
        <f t="shared" si="125"/>
        <v>0</v>
      </c>
      <c r="M239" s="32">
        <f t="shared" si="125"/>
        <v>0</v>
      </c>
      <c r="N239" s="32">
        <f t="shared" si="125"/>
        <v>0</v>
      </c>
      <c r="O239" s="68" t="e">
        <f>M239/I239*100</f>
        <v>#DIV/0!</v>
      </c>
      <c r="P239" s="71">
        <f t="shared" si="106"/>
        <v>0</v>
      </c>
      <c r="Q239" s="35">
        <f t="shared" si="107"/>
        <v>0</v>
      </c>
      <c r="R239" s="72">
        <v>1103810</v>
      </c>
      <c r="S239" s="72">
        <f t="shared" si="108"/>
        <v>0</v>
      </c>
      <c r="T239" s="62">
        <f>G239-J239</f>
        <v>0</v>
      </c>
    </row>
    <row r="240" spans="1:20" ht="25.5">
      <c r="A240" s="100"/>
      <c r="B240" s="15"/>
      <c r="C240" s="15"/>
      <c r="D240" s="16"/>
      <c r="E240" s="20">
        <v>414</v>
      </c>
      <c r="F240" s="50" t="s">
        <v>105</v>
      </c>
      <c r="G240" s="37"/>
      <c r="H240" s="37"/>
      <c r="I240" s="37"/>
      <c r="J240" s="75">
        <f>M240</f>
        <v>0</v>
      </c>
      <c r="K240" s="35">
        <f>'1.02.'!M240</f>
        <v>0</v>
      </c>
      <c r="L240" s="35"/>
      <c r="M240" s="93">
        <f>K240+L240</f>
        <v>0</v>
      </c>
      <c r="N240" s="93">
        <f t="shared" ref="N240:N241" si="126">I240-M240</f>
        <v>0</v>
      </c>
      <c r="O240" s="70" t="e">
        <f t="shared" ref="O240:O241" si="127">M240/I240*100</f>
        <v>#DIV/0!</v>
      </c>
      <c r="P240" s="71">
        <f t="shared" si="106"/>
        <v>0</v>
      </c>
      <c r="Q240" s="35">
        <f t="shared" si="107"/>
        <v>0</v>
      </c>
      <c r="R240" s="72">
        <v>1103811</v>
      </c>
      <c r="S240" s="72">
        <f t="shared" si="108"/>
        <v>0</v>
      </c>
    </row>
    <row r="241" spans="1:20">
      <c r="A241" s="100"/>
      <c r="B241" s="15"/>
      <c r="C241" s="15"/>
      <c r="D241" s="16"/>
      <c r="E241" s="20">
        <v>419</v>
      </c>
      <c r="F241" s="86" t="s">
        <v>153</v>
      </c>
      <c r="G241" s="37"/>
      <c r="H241" s="37"/>
      <c r="I241" s="37"/>
      <c r="J241" s="75">
        <f>M241</f>
        <v>0</v>
      </c>
      <c r="K241" s="35">
        <f>'1.02.'!M241</f>
        <v>0</v>
      </c>
      <c r="L241" s="35"/>
      <c r="M241" s="92">
        <f>K241+L241</f>
        <v>0</v>
      </c>
      <c r="N241" s="93">
        <f t="shared" si="126"/>
        <v>0</v>
      </c>
      <c r="O241" s="70" t="e">
        <f t="shared" si="127"/>
        <v>#DIV/0!</v>
      </c>
      <c r="P241" s="71">
        <f t="shared" si="106"/>
        <v>0</v>
      </c>
      <c r="Q241" s="35">
        <f t="shared" si="107"/>
        <v>0</v>
      </c>
      <c r="R241" s="72">
        <v>1103812</v>
      </c>
      <c r="S241" s="72">
        <f t="shared" si="108"/>
        <v>0</v>
      </c>
    </row>
    <row r="242" spans="1:20" s="73" customFormat="1">
      <c r="A242" s="103"/>
      <c r="B242" s="8"/>
      <c r="C242" s="17" t="s">
        <v>30</v>
      </c>
      <c r="D242" s="21"/>
      <c r="E242" s="21"/>
      <c r="F242" s="139" t="s">
        <v>129</v>
      </c>
      <c r="G242" s="23">
        <f>G243+G245+G248</f>
        <v>6982605</v>
      </c>
      <c r="H242" s="23">
        <f>H243+H245+H248</f>
        <v>259594</v>
      </c>
      <c r="I242" s="23">
        <f>I243+I245+I248</f>
        <v>259594</v>
      </c>
      <c r="J242" s="25">
        <f t="shared" ref="J242:N242" si="128">J243+J245+J248</f>
        <v>259593.73903</v>
      </c>
      <c r="K242" s="35">
        <f>'1.02.'!M242</f>
        <v>7761.6379999999999</v>
      </c>
      <c r="L242" s="38">
        <f t="shared" si="128"/>
        <v>251832.10102999996</v>
      </c>
      <c r="M242" s="24">
        <f>M243+M245+M248</f>
        <v>259593.73902999997</v>
      </c>
      <c r="N242" s="24">
        <f t="shared" si="128"/>
        <v>0.26097000002278037</v>
      </c>
      <c r="O242" s="68">
        <f>M242/I242*100</f>
        <v>99.999899469941511</v>
      </c>
      <c r="P242" s="71">
        <f t="shared" si="106"/>
        <v>0</v>
      </c>
      <c r="Q242" s="35">
        <f t="shared" si="107"/>
        <v>0.26097000000299886</v>
      </c>
      <c r="R242" s="72">
        <v>1103813</v>
      </c>
      <c r="S242" s="72">
        <f t="shared" si="108"/>
        <v>6723011.2609700002</v>
      </c>
      <c r="T242" s="62">
        <f t="shared" ref="T242:T268" si="129">G242-J242</f>
        <v>6723011.2609700002</v>
      </c>
    </row>
    <row r="243" spans="1:20">
      <c r="A243" s="100"/>
      <c r="B243" s="8"/>
      <c r="C243" s="8"/>
      <c r="D243" s="17" t="s">
        <v>31</v>
      </c>
      <c r="E243" s="10"/>
      <c r="F243" s="140" t="s">
        <v>130</v>
      </c>
      <c r="G243" s="59">
        <f>G244</f>
        <v>3730007</v>
      </c>
      <c r="H243" s="59">
        <f t="shared" ref="H243:N243" si="130">H244</f>
        <v>45214</v>
      </c>
      <c r="I243" s="59">
        <f t="shared" si="130"/>
        <v>45214</v>
      </c>
      <c r="J243" s="33">
        <f t="shared" si="130"/>
        <v>45214</v>
      </c>
      <c r="K243" s="35">
        <f>'1.02.'!M243</f>
        <v>5742</v>
      </c>
      <c r="L243" s="33">
        <f t="shared" si="130"/>
        <v>39472</v>
      </c>
      <c r="M243" s="60">
        <f t="shared" si="130"/>
        <v>45214</v>
      </c>
      <c r="N243" s="33">
        <f t="shared" si="130"/>
        <v>0</v>
      </c>
      <c r="O243" s="68">
        <f t="shared" ref="O243:O258" si="131">M243/I243*100</f>
        <v>100</v>
      </c>
      <c r="P243" s="71">
        <f t="shared" si="106"/>
        <v>0</v>
      </c>
      <c r="Q243" s="35">
        <f t="shared" si="107"/>
        <v>0</v>
      </c>
      <c r="R243" s="72">
        <v>1103814</v>
      </c>
      <c r="S243" s="72">
        <f t="shared" si="108"/>
        <v>3684793</v>
      </c>
      <c r="T243" s="62">
        <f t="shared" si="129"/>
        <v>3684793</v>
      </c>
    </row>
    <row r="244" spans="1:20">
      <c r="A244" s="100"/>
      <c r="B244" s="9"/>
      <c r="C244" s="9"/>
      <c r="D244" s="69"/>
      <c r="E244" s="69">
        <v>159</v>
      </c>
      <c r="F244" s="136" t="s">
        <v>84</v>
      </c>
      <c r="G244" s="26">
        <v>3730007</v>
      </c>
      <c r="H244" s="26">
        <v>45214</v>
      </c>
      <c r="I244" s="26">
        <v>45214</v>
      </c>
      <c r="J244" s="105">
        <f>M244</f>
        <v>45214</v>
      </c>
      <c r="K244" s="35">
        <f>'1.02.'!M244</f>
        <v>5742</v>
      </c>
      <c r="L244" s="27">
        <v>39472</v>
      </c>
      <c r="M244" s="92">
        <f t="shared" si="117"/>
        <v>45214</v>
      </c>
      <c r="N244" s="93">
        <f t="shared" si="122"/>
        <v>0</v>
      </c>
      <c r="O244" s="70">
        <f t="shared" si="131"/>
        <v>100</v>
      </c>
      <c r="P244" s="71">
        <f t="shared" si="106"/>
        <v>0</v>
      </c>
      <c r="Q244" s="35">
        <f t="shared" si="107"/>
        <v>0</v>
      </c>
      <c r="R244" s="72">
        <v>1103815</v>
      </c>
      <c r="S244" s="72">
        <f t="shared" si="108"/>
        <v>3684793</v>
      </c>
      <c r="T244" s="62">
        <f t="shared" si="129"/>
        <v>3684793</v>
      </c>
    </row>
    <row r="245" spans="1:20">
      <c r="A245" s="100"/>
      <c r="B245" s="8"/>
      <c r="C245" s="8"/>
      <c r="D245" s="17" t="s">
        <v>32</v>
      </c>
      <c r="E245" s="10"/>
      <c r="F245" s="140" t="s">
        <v>131</v>
      </c>
      <c r="G245" s="59">
        <f>G246+G247</f>
        <v>32846</v>
      </c>
      <c r="H245" s="59">
        <f t="shared" ref="H245:M245" si="132">H246+H247</f>
        <v>0</v>
      </c>
      <c r="I245" s="59">
        <f t="shared" si="132"/>
        <v>0</v>
      </c>
      <c r="J245" s="33">
        <f t="shared" si="132"/>
        <v>0</v>
      </c>
      <c r="K245" s="35">
        <f>'1.02.'!M245</f>
        <v>0</v>
      </c>
      <c r="L245" s="59">
        <f t="shared" si="132"/>
        <v>0</v>
      </c>
      <c r="M245" s="29">
        <f t="shared" si="132"/>
        <v>0</v>
      </c>
      <c r="N245" s="29">
        <f>N246+N247</f>
        <v>0</v>
      </c>
      <c r="O245" s="68" t="e">
        <f t="shared" ref="O245" si="133">O246</f>
        <v>#DIV/0!</v>
      </c>
      <c r="P245" s="71">
        <f t="shared" si="106"/>
        <v>0</v>
      </c>
      <c r="Q245" s="35">
        <f t="shared" si="107"/>
        <v>0</v>
      </c>
      <c r="R245" s="72">
        <v>1103816</v>
      </c>
      <c r="S245" s="72">
        <f t="shared" si="108"/>
        <v>32846</v>
      </c>
      <c r="T245" s="62">
        <f t="shared" si="129"/>
        <v>32846</v>
      </c>
    </row>
    <row r="246" spans="1:20">
      <c r="A246" s="100"/>
      <c r="B246" s="9"/>
      <c r="C246" s="9"/>
      <c r="D246" s="69"/>
      <c r="E246" s="69">
        <v>159</v>
      </c>
      <c r="F246" s="136" t="s">
        <v>84</v>
      </c>
      <c r="G246" s="26">
        <v>32846</v>
      </c>
      <c r="H246" s="26"/>
      <c r="I246" s="26"/>
      <c r="J246" s="105">
        <f>M246</f>
        <v>0</v>
      </c>
      <c r="K246" s="35">
        <f>'1.02.'!M246</f>
        <v>0</v>
      </c>
      <c r="L246" s="27"/>
      <c r="M246" s="92">
        <f t="shared" si="117"/>
        <v>0</v>
      </c>
      <c r="N246" s="93">
        <f>I246-M246</f>
        <v>0</v>
      </c>
      <c r="O246" s="70" t="e">
        <f t="shared" si="131"/>
        <v>#DIV/0!</v>
      </c>
      <c r="P246" s="71">
        <f t="shared" si="106"/>
        <v>0</v>
      </c>
      <c r="Q246" s="35">
        <f t="shared" si="107"/>
        <v>0</v>
      </c>
      <c r="R246" s="72">
        <v>1103817</v>
      </c>
      <c r="S246" s="72">
        <f t="shared" si="108"/>
        <v>32846</v>
      </c>
      <c r="T246" s="62">
        <f t="shared" si="129"/>
        <v>32846</v>
      </c>
    </row>
    <row r="247" spans="1:20">
      <c r="A247" s="100"/>
      <c r="B247" s="9"/>
      <c r="C247" s="9"/>
      <c r="D247" s="69"/>
      <c r="E247" s="69">
        <v>322</v>
      </c>
      <c r="F247" s="133" t="s">
        <v>82</v>
      </c>
      <c r="G247" s="26"/>
      <c r="H247" s="26"/>
      <c r="I247" s="26"/>
      <c r="J247" s="105">
        <f>M247</f>
        <v>0</v>
      </c>
      <c r="K247" s="35">
        <f>'1.02.'!M247</f>
        <v>0</v>
      </c>
      <c r="L247" s="27"/>
      <c r="M247" s="92">
        <f t="shared" si="117"/>
        <v>0</v>
      </c>
      <c r="N247" s="93">
        <f>I247-M247</f>
        <v>0</v>
      </c>
      <c r="O247" s="70" t="e">
        <f t="shared" si="131"/>
        <v>#DIV/0!</v>
      </c>
      <c r="P247" s="71">
        <f t="shared" si="106"/>
        <v>0</v>
      </c>
      <c r="Q247" s="35">
        <f t="shared" si="107"/>
        <v>0</v>
      </c>
      <c r="R247" s="72">
        <v>1103818</v>
      </c>
      <c r="S247" s="72">
        <f t="shared" si="108"/>
        <v>0</v>
      </c>
    </row>
    <row r="248" spans="1:20" ht="25.5">
      <c r="A248" s="100"/>
      <c r="B248" s="8"/>
      <c r="C248" s="8"/>
      <c r="D248" s="17" t="s">
        <v>33</v>
      </c>
      <c r="E248" s="10"/>
      <c r="F248" s="140" t="s">
        <v>132</v>
      </c>
      <c r="G248" s="59">
        <f>G249+G257+G258+G259</f>
        <v>3219752</v>
      </c>
      <c r="H248" s="59">
        <f t="shared" ref="H248:N248" si="134">H249+H257+H258+H259</f>
        <v>214380</v>
      </c>
      <c r="I248" s="59">
        <f t="shared" si="134"/>
        <v>214380</v>
      </c>
      <c r="J248" s="29">
        <f t="shared" si="134"/>
        <v>214379.73903</v>
      </c>
      <c r="K248" s="59">
        <f t="shared" si="134"/>
        <v>2019.6379999999999</v>
      </c>
      <c r="L248" s="29">
        <f t="shared" si="134"/>
        <v>212360.10102999996</v>
      </c>
      <c r="M248" s="29">
        <f t="shared" si="134"/>
        <v>214379.73902999997</v>
      </c>
      <c r="N248" s="60">
        <f t="shared" si="134"/>
        <v>0.26097000002278037</v>
      </c>
      <c r="O248" s="68">
        <f>M248/I248*100</f>
        <v>99.999878267562252</v>
      </c>
      <c r="P248" s="71">
        <f t="shared" si="106"/>
        <v>0</v>
      </c>
      <c r="Q248" s="35">
        <f t="shared" si="107"/>
        <v>0.26097000000299886</v>
      </c>
      <c r="R248" s="72">
        <v>1103819</v>
      </c>
      <c r="S248" s="72">
        <f t="shared" si="108"/>
        <v>3005372.2609700002</v>
      </c>
      <c r="T248" s="62">
        <f t="shared" si="129"/>
        <v>3005372.2609700002</v>
      </c>
    </row>
    <row r="249" spans="1:20">
      <c r="A249" s="100"/>
      <c r="B249" s="9"/>
      <c r="C249" s="9"/>
      <c r="D249" s="69"/>
      <c r="E249" s="69">
        <v>159</v>
      </c>
      <c r="F249" s="141" t="s">
        <v>84</v>
      </c>
      <c r="G249" s="26">
        <f>SUM(G250:G256)</f>
        <v>2705469</v>
      </c>
      <c r="H249" s="26">
        <f>SUM(H250:H256)</f>
        <v>212630</v>
      </c>
      <c r="I249" s="26">
        <f>SUM(I250:I256)</f>
        <v>212630</v>
      </c>
      <c r="J249" s="27">
        <f>SUM(J250:J256)</f>
        <v>212629.99903000001</v>
      </c>
      <c r="K249" s="35">
        <f>'1.02.'!M249</f>
        <v>2019.6379999999999</v>
      </c>
      <c r="L249" s="27">
        <f>SUM(L250:L256)</f>
        <v>210610.36102999997</v>
      </c>
      <c r="M249" s="92">
        <f>K249+L249</f>
        <v>212629.99902999998</v>
      </c>
      <c r="N249" s="93">
        <f>I249-M249</f>
        <v>9.700000227894634E-4</v>
      </c>
      <c r="O249" s="70">
        <f t="shared" si="131"/>
        <v>99.999999543808485</v>
      </c>
      <c r="P249" s="71">
        <f t="shared" si="106"/>
        <v>0</v>
      </c>
      <c r="Q249" s="35">
        <f t="shared" si="107"/>
        <v>9.6999999368563294E-4</v>
      </c>
      <c r="R249" s="72">
        <v>1103820</v>
      </c>
      <c r="S249" s="72">
        <f t="shared" si="108"/>
        <v>2492839.0009699999</v>
      </c>
      <c r="T249" s="62">
        <f t="shared" si="129"/>
        <v>2492839.0009699999</v>
      </c>
    </row>
    <row r="250" spans="1:20">
      <c r="A250" s="100"/>
      <c r="B250" s="9"/>
      <c r="C250" s="9"/>
      <c r="D250" s="69"/>
      <c r="E250" s="69"/>
      <c r="F250" s="55" t="s">
        <v>49</v>
      </c>
      <c r="G250" s="26">
        <v>1124154</v>
      </c>
      <c r="H250" s="61">
        <f>2050+93053-1993.6</f>
        <v>93109.4</v>
      </c>
      <c r="I250" s="61">
        <f>2050+93053-1993.6</f>
        <v>93109.4</v>
      </c>
      <c r="J250" s="105">
        <f>M250</f>
        <v>93109.400000000009</v>
      </c>
      <c r="K250" s="35">
        <f>'1.02.'!M250</f>
        <v>2019.6379999999999</v>
      </c>
      <c r="L250" s="61">
        <v>91089.762000000002</v>
      </c>
      <c r="M250" s="92">
        <f>K250+L250</f>
        <v>93109.400000000009</v>
      </c>
      <c r="N250" s="93">
        <f t="shared" ref="N250:N256" si="135">I250-M250</f>
        <v>0</v>
      </c>
      <c r="O250" s="70">
        <f t="shared" si="131"/>
        <v>100.00000000000003</v>
      </c>
      <c r="P250" s="71">
        <f t="shared" si="106"/>
        <v>0</v>
      </c>
      <c r="Q250" s="35">
        <f t="shared" si="107"/>
        <v>0</v>
      </c>
      <c r="R250" s="72">
        <v>1103821</v>
      </c>
      <c r="S250" s="72">
        <f t="shared" si="108"/>
        <v>1031044.6</v>
      </c>
    </row>
    <row r="251" spans="1:20">
      <c r="A251" s="100"/>
      <c r="B251" s="9"/>
      <c r="C251" s="9"/>
      <c r="D251" s="69"/>
      <c r="E251" s="69"/>
      <c r="F251" s="55" t="s">
        <v>50</v>
      </c>
      <c r="G251" s="26">
        <v>130399</v>
      </c>
      <c r="H251" s="61">
        <f>26080-3722.9</f>
        <v>22357.1</v>
      </c>
      <c r="I251" s="61">
        <f>26080-3722.9</f>
        <v>22357.1</v>
      </c>
      <c r="J251" s="105">
        <f t="shared" ref="J251:J257" si="136">M251</f>
        <v>22357.1</v>
      </c>
      <c r="K251" s="35">
        <f>'1.02.'!M251</f>
        <v>0</v>
      </c>
      <c r="L251" s="61">
        <v>22357.1</v>
      </c>
      <c r="M251" s="92">
        <f t="shared" ref="M251:M256" si="137">K251+L251</f>
        <v>22357.1</v>
      </c>
      <c r="N251" s="93">
        <f t="shared" si="135"/>
        <v>0</v>
      </c>
      <c r="O251" s="70">
        <f t="shared" si="131"/>
        <v>100</v>
      </c>
      <c r="P251" s="71">
        <f t="shared" si="106"/>
        <v>0</v>
      </c>
      <c r="Q251" s="35">
        <f t="shared" si="107"/>
        <v>0</v>
      </c>
      <c r="R251" s="72">
        <v>1103822</v>
      </c>
      <c r="S251" s="72">
        <f t="shared" si="108"/>
        <v>108041.9</v>
      </c>
    </row>
    <row r="252" spans="1:20">
      <c r="A252" s="100"/>
      <c r="B252" s="9"/>
      <c r="C252" s="9"/>
      <c r="D252" s="69"/>
      <c r="E252" s="69"/>
      <c r="F252" s="55" t="s">
        <v>51</v>
      </c>
      <c r="G252" s="26"/>
      <c r="H252" s="61"/>
      <c r="I252" s="61"/>
      <c r="J252" s="105">
        <f t="shared" si="136"/>
        <v>0</v>
      </c>
      <c r="K252" s="35">
        <f>'1.02.'!M252</f>
        <v>0</v>
      </c>
      <c r="L252" s="61"/>
      <c r="M252" s="92">
        <f t="shared" si="137"/>
        <v>0</v>
      </c>
      <c r="N252" s="93">
        <f t="shared" si="135"/>
        <v>0</v>
      </c>
      <c r="O252" s="70" t="e">
        <f t="shared" si="131"/>
        <v>#DIV/0!</v>
      </c>
      <c r="P252" s="71">
        <f t="shared" si="106"/>
        <v>0</v>
      </c>
      <c r="Q252" s="35">
        <f t="shared" si="107"/>
        <v>0</v>
      </c>
      <c r="R252" s="72">
        <v>1103823</v>
      </c>
      <c r="S252" s="72">
        <f t="shared" si="108"/>
        <v>0</v>
      </c>
    </row>
    <row r="253" spans="1:20">
      <c r="A253" s="100"/>
      <c r="B253" s="9"/>
      <c r="C253" s="9"/>
      <c r="D253" s="69"/>
      <c r="E253" s="69"/>
      <c r="F253" s="55" t="s">
        <v>52</v>
      </c>
      <c r="G253" s="26"/>
      <c r="H253" s="61"/>
      <c r="I253" s="61"/>
      <c r="J253" s="105">
        <f t="shared" si="136"/>
        <v>0</v>
      </c>
      <c r="K253" s="35">
        <f>'1.02.'!M253</f>
        <v>0</v>
      </c>
      <c r="L253" s="61"/>
      <c r="M253" s="92">
        <f t="shared" si="137"/>
        <v>0</v>
      </c>
      <c r="N253" s="93">
        <f t="shared" si="135"/>
        <v>0</v>
      </c>
      <c r="O253" s="70" t="e">
        <f t="shared" si="131"/>
        <v>#DIV/0!</v>
      </c>
      <c r="P253" s="71">
        <f t="shared" si="106"/>
        <v>0</v>
      </c>
      <c r="Q253" s="35">
        <f t="shared" si="107"/>
        <v>0</v>
      </c>
      <c r="R253" s="72">
        <v>1103824</v>
      </c>
      <c r="S253" s="72">
        <f t="shared" si="108"/>
        <v>0</v>
      </c>
    </row>
    <row r="254" spans="1:20">
      <c r="A254" s="100"/>
      <c r="B254" s="9"/>
      <c r="C254" s="9"/>
      <c r="D254" s="69"/>
      <c r="E254" s="69"/>
      <c r="F254" s="55" t="s">
        <v>53</v>
      </c>
      <c r="G254" s="26">
        <v>236664</v>
      </c>
      <c r="H254" s="61">
        <f>2906-1667.6</f>
        <v>1238.4000000000001</v>
      </c>
      <c r="I254" s="61">
        <f>2906-1667.6</f>
        <v>1238.4000000000001</v>
      </c>
      <c r="J254" s="105">
        <f t="shared" si="136"/>
        <v>1238.4000000000001</v>
      </c>
      <c r="K254" s="35">
        <f>'1.02.'!M254</f>
        <v>0</v>
      </c>
      <c r="L254" s="61">
        <v>1238.4000000000001</v>
      </c>
      <c r="M254" s="92">
        <f t="shared" si="137"/>
        <v>1238.4000000000001</v>
      </c>
      <c r="N254" s="93">
        <f t="shared" si="135"/>
        <v>0</v>
      </c>
      <c r="O254" s="70">
        <f t="shared" si="131"/>
        <v>100</v>
      </c>
      <c r="P254" s="71">
        <f t="shared" si="106"/>
        <v>0</v>
      </c>
      <c r="Q254" s="35">
        <f t="shared" si="107"/>
        <v>0</v>
      </c>
      <c r="R254" s="72">
        <v>1103825</v>
      </c>
      <c r="S254" s="72">
        <f t="shared" si="108"/>
        <v>235425.6</v>
      </c>
    </row>
    <row r="255" spans="1:20">
      <c r="A255" s="100"/>
      <c r="B255" s="9"/>
      <c r="C255" s="9"/>
      <c r="D255" s="69"/>
      <c r="E255" s="69"/>
      <c r="F255" s="55" t="s">
        <v>54</v>
      </c>
      <c r="G255" s="26">
        <v>27612</v>
      </c>
      <c r="H255" s="61">
        <f>2111-228.7</f>
        <v>1882.3</v>
      </c>
      <c r="I255" s="61">
        <f>2111-228.7</f>
        <v>1882.3</v>
      </c>
      <c r="J255" s="105">
        <f t="shared" si="136"/>
        <v>1882.3</v>
      </c>
      <c r="K255" s="35">
        <f>'1.02.'!M255</f>
        <v>0</v>
      </c>
      <c r="L255" s="61">
        <v>1882.3</v>
      </c>
      <c r="M255" s="92">
        <f t="shared" si="137"/>
        <v>1882.3</v>
      </c>
      <c r="N255" s="93">
        <f t="shared" si="135"/>
        <v>0</v>
      </c>
      <c r="O255" s="70">
        <f t="shared" si="131"/>
        <v>100</v>
      </c>
      <c r="P255" s="71">
        <f t="shared" si="106"/>
        <v>0</v>
      </c>
      <c r="Q255" s="35">
        <f t="shared" si="107"/>
        <v>0</v>
      </c>
      <c r="R255" s="72">
        <v>1103826</v>
      </c>
      <c r="S255" s="72">
        <f t="shared" si="108"/>
        <v>25729.7</v>
      </c>
    </row>
    <row r="256" spans="1:20">
      <c r="A256" s="100"/>
      <c r="B256" s="9"/>
      <c r="C256" s="9"/>
      <c r="D256" s="69"/>
      <c r="E256" s="69"/>
      <c r="F256" s="55" t="s">
        <v>55</v>
      </c>
      <c r="G256" s="26">
        <v>1186640</v>
      </c>
      <c r="H256" s="61">
        <f>101338-7295.2</f>
        <v>94042.8</v>
      </c>
      <c r="I256" s="61">
        <f>101338-7295.2</f>
        <v>94042.8</v>
      </c>
      <c r="J256" s="105">
        <f t="shared" si="136"/>
        <v>94042.799029999995</v>
      </c>
      <c r="K256" s="35">
        <f>'1.02.'!M256</f>
        <v>0</v>
      </c>
      <c r="L256" s="61">
        <v>94042.799029999995</v>
      </c>
      <c r="M256" s="92">
        <f t="shared" si="137"/>
        <v>94042.799029999995</v>
      </c>
      <c r="N256" s="93">
        <f t="shared" si="135"/>
        <v>9.7000000823754817E-4</v>
      </c>
      <c r="O256" s="70">
        <f t="shared" si="131"/>
        <v>99.999998968554735</v>
      </c>
      <c r="P256" s="71">
        <f t="shared" si="106"/>
        <v>0</v>
      </c>
      <c r="Q256" s="35">
        <f t="shared" si="107"/>
        <v>9.7000000823754817E-4</v>
      </c>
      <c r="R256" s="72">
        <v>1103827</v>
      </c>
      <c r="S256" s="72">
        <f t="shared" si="108"/>
        <v>1092597.2009700001</v>
      </c>
    </row>
    <row r="257" spans="1:20">
      <c r="A257" s="100"/>
      <c r="B257" s="9"/>
      <c r="C257" s="9"/>
      <c r="D257" s="69"/>
      <c r="E257" s="69">
        <v>169</v>
      </c>
      <c r="F257" s="136" t="s">
        <v>103</v>
      </c>
      <c r="G257" s="26">
        <v>503430</v>
      </c>
      <c r="H257" s="26"/>
      <c r="I257" s="26"/>
      <c r="J257" s="105">
        <f t="shared" si="136"/>
        <v>0</v>
      </c>
      <c r="K257" s="35">
        <f>'1.02.'!M257</f>
        <v>0</v>
      </c>
      <c r="L257" s="27"/>
      <c r="M257" s="92">
        <f>K257+L257</f>
        <v>0</v>
      </c>
      <c r="N257" s="93">
        <f>I257-M257</f>
        <v>0</v>
      </c>
      <c r="O257" s="70" t="e">
        <f t="shared" si="131"/>
        <v>#DIV/0!</v>
      </c>
      <c r="P257" s="71">
        <f t="shared" si="106"/>
        <v>0</v>
      </c>
      <c r="Q257" s="35">
        <f t="shared" si="107"/>
        <v>0</v>
      </c>
      <c r="R257" s="72">
        <v>1103828</v>
      </c>
      <c r="S257" s="72">
        <f t="shared" si="108"/>
        <v>503430</v>
      </c>
      <c r="T257" s="62">
        <f t="shared" si="129"/>
        <v>503430</v>
      </c>
    </row>
    <row r="258" spans="1:20" ht="25.5">
      <c r="A258" s="100"/>
      <c r="B258" s="9"/>
      <c r="C258" s="9"/>
      <c r="D258" s="69"/>
      <c r="E258" s="69">
        <v>311</v>
      </c>
      <c r="F258" s="3" t="s">
        <v>133</v>
      </c>
      <c r="G258" s="26"/>
      <c r="H258" s="26"/>
      <c r="I258" s="26"/>
      <c r="J258" s="105">
        <f>M258</f>
        <v>0</v>
      </c>
      <c r="K258" s="35">
        <f>'1.02.'!M258</f>
        <v>0</v>
      </c>
      <c r="L258" s="27"/>
      <c r="M258" s="92">
        <f>K258+L258</f>
        <v>0</v>
      </c>
      <c r="N258" s="93">
        <f>I258-M258</f>
        <v>0</v>
      </c>
      <c r="O258" s="70" t="e">
        <f t="shared" si="131"/>
        <v>#DIV/0!</v>
      </c>
      <c r="P258" s="71">
        <f t="shared" si="106"/>
        <v>0</v>
      </c>
      <c r="Q258" s="35">
        <f t="shared" si="107"/>
        <v>0</v>
      </c>
      <c r="R258" s="72">
        <v>1103829</v>
      </c>
      <c r="S258" s="72">
        <f t="shared" si="108"/>
        <v>0</v>
      </c>
    </row>
    <row r="259" spans="1:20">
      <c r="A259" s="100"/>
      <c r="B259" s="9"/>
      <c r="C259" s="9"/>
      <c r="D259" s="69"/>
      <c r="E259" s="69">
        <v>313</v>
      </c>
      <c r="F259" s="3" t="s">
        <v>165</v>
      </c>
      <c r="G259" s="26">
        <v>10853</v>
      </c>
      <c r="H259" s="26">
        <v>1750</v>
      </c>
      <c r="I259" s="26">
        <v>1750</v>
      </c>
      <c r="J259" s="105">
        <f>M259</f>
        <v>1749.74</v>
      </c>
      <c r="K259" s="35">
        <f>'1.02.'!M259</f>
        <v>0</v>
      </c>
      <c r="L259" s="27">
        <v>1749.74</v>
      </c>
      <c r="M259" s="92">
        <f>K259+L259</f>
        <v>1749.74</v>
      </c>
      <c r="N259" s="93">
        <f>I259-M259</f>
        <v>0.25999999999999091</v>
      </c>
      <c r="O259" s="70">
        <f t="shared" ref="O259" si="138">M259/I259*100</f>
        <v>99.985142857142861</v>
      </c>
      <c r="P259" s="71">
        <f t="shared" ref="P259" si="139">J259-M259</f>
        <v>0</v>
      </c>
      <c r="Q259" s="35">
        <f t="shared" ref="Q259" si="140">H259-J259</f>
        <v>0.25999999999999091</v>
      </c>
      <c r="R259" s="72">
        <v>1103829</v>
      </c>
      <c r="S259" s="72">
        <f t="shared" ref="S259" si="141">G259-M259</f>
        <v>9103.26</v>
      </c>
    </row>
    <row r="260" spans="1:20" s="73" customFormat="1" ht="38.25">
      <c r="A260" s="103"/>
      <c r="B260" s="8"/>
      <c r="C260" s="17" t="s">
        <v>34</v>
      </c>
      <c r="D260" s="21"/>
      <c r="E260" s="21"/>
      <c r="F260" s="125" t="s">
        <v>134</v>
      </c>
      <c r="G260" s="23">
        <f>G261</f>
        <v>10428</v>
      </c>
      <c r="H260" s="23">
        <f t="shared" ref="H260:O260" si="142">H261</f>
        <v>0</v>
      </c>
      <c r="I260" s="23">
        <f t="shared" si="142"/>
        <v>0</v>
      </c>
      <c r="J260" s="38">
        <f t="shared" si="142"/>
        <v>0</v>
      </c>
      <c r="K260" s="35">
        <f>'1.02.'!M259</f>
        <v>0</v>
      </c>
      <c r="L260" s="23">
        <f t="shared" si="142"/>
        <v>0</v>
      </c>
      <c r="M260" s="24">
        <f t="shared" si="142"/>
        <v>0</v>
      </c>
      <c r="N260" s="23">
        <f t="shared" si="142"/>
        <v>0</v>
      </c>
      <c r="O260" s="39" t="e">
        <f t="shared" si="142"/>
        <v>#DIV/0!</v>
      </c>
      <c r="P260" s="71">
        <f t="shared" si="106"/>
        <v>0</v>
      </c>
      <c r="Q260" s="35">
        <f t="shared" si="107"/>
        <v>0</v>
      </c>
      <c r="R260" s="72">
        <v>1103830</v>
      </c>
      <c r="S260" s="72">
        <f t="shared" si="108"/>
        <v>10428</v>
      </c>
      <c r="T260" s="62">
        <f t="shared" si="129"/>
        <v>10428</v>
      </c>
    </row>
    <row r="261" spans="1:20">
      <c r="A261" s="100"/>
      <c r="B261" s="8"/>
      <c r="C261" s="8"/>
      <c r="D261" s="17" t="s">
        <v>7</v>
      </c>
      <c r="E261" s="10"/>
      <c r="F261" s="135" t="s">
        <v>85</v>
      </c>
      <c r="G261" s="59">
        <f>G262+G263</f>
        <v>10428</v>
      </c>
      <c r="H261" s="59">
        <f t="shared" ref="H261:N261" si="143">H262+H263</f>
        <v>0</v>
      </c>
      <c r="I261" s="59">
        <f t="shared" si="143"/>
        <v>0</v>
      </c>
      <c r="J261" s="59">
        <f t="shared" si="143"/>
        <v>0</v>
      </c>
      <c r="K261" s="59">
        <f t="shared" si="143"/>
        <v>0</v>
      </c>
      <c r="L261" s="59">
        <f t="shared" si="143"/>
        <v>0</v>
      </c>
      <c r="M261" s="59">
        <f t="shared" si="143"/>
        <v>0</v>
      </c>
      <c r="N261" s="59">
        <f t="shared" si="143"/>
        <v>0</v>
      </c>
      <c r="O261" s="68" t="e">
        <f>M261/I261*100</f>
        <v>#DIV/0!</v>
      </c>
      <c r="P261" s="71">
        <f t="shared" si="106"/>
        <v>0</v>
      </c>
      <c r="Q261" s="35">
        <f t="shared" si="107"/>
        <v>0</v>
      </c>
      <c r="R261" s="72">
        <v>1103831</v>
      </c>
      <c r="S261" s="72">
        <f t="shared" si="108"/>
        <v>10428</v>
      </c>
      <c r="T261" s="62">
        <f t="shared" si="129"/>
        <v>10428</v>
      </c>
    </row>
    <row r="262" spans="1:20" ht="25.5">
      <c r="A262" s="100"/>
      <c r="B262" s="9"/>
      <c r="C262" s="9"/>
      <c r="D262" s="69"/>
      <c r="E262" s="69">
        <v>311</v>
      </c>
      <c r="F262" s="142" t="s">
        <v>133</v>
      </c>
      <c r="G262" s="26">
        <f>10428-10428</f>
        <v>0</v>
      </c>
      <c r="H262" s="26"/>
      <c r="I262" s="26"/>
      <c r="J262" s="105">
        <f>M262</f>
        <v>0</v>
      </c>
      <c r="K262" s="35">
        <f>'1.02.'!M261</f>
        <v>0</v>
      </c>
      <c r="L262" s="27"/>
      <c r="M262" s="92">
        <f>K262+L262</f>
        <v>0</v>
      </c>
      <c r="N262" s="93">
        <f>I262-M262</f>
        <v>0</v>
      </c>
      <c r="O262" s="70" t="e">
        <f>M262/I262*100</f>
        <v>#DIV/0!</v>
      </c>
      <c r="P262" s="71">
        <f t="shared" si="106"/>
        <v>0</v>
      </c>
      <c r="Q262" s="35">
        <f t="shared" si="107"/>
        <v>0</v>
      </c>
      <c r="R262" s="72">
        <v>1103832</v>
      </c>
      <c r="S262" s="72">
        <f t="shared" si="108"/>
        <v>0</v>
      </c>
      <c r="T262" s="62">
        <f t="shared" si="129"/>
        <v>0</v>
      </c>
    </row>
    <row r="263" spans="1:20">
      <c r="A263" s="100"/>
      <c r="B263" s="9"/>
      <c r="C263" s="9"/>
      <c r="D263" s="69"/>
      <c r="E263" s="69">
        <v>312</v>
      </c>
      <c r="F263" s="3" t="s">
        <v>166</v>
      </c>
      <c r="G263" s="26">
        <v>10428</v>
      </c>
      <c r="H263" s="26"/>
      <c r="I263" s="26"/>
      <c r="J263" s="105"/>
      <c r="K263" s="35"/>
      <c r="L263" s="27"/>
      <c r="M263" s="92"/>
      <c r="N263" s="93"/>
      <c r="O263" s="70"/>
      <c r="P263" s="71"/>
      <c r="Q263" s="35"/>
      <c r="R263" s="72"/>
      <c r="S263" s="72"/>
    </row>
    <row r="264" spans="1:20" s="73" customFormat="1" ht="25.5">
      <c r="A264" s="8"/>
      <c r="B264" s="58">
        <v>1268</v>
      </c>
      <c r="C264" s="8"/>
      <c r="D264" s="21"/>
      <c r="E264" s="21"/>
      <c r="F264" s="143" t="s">
        <v>135</v>
      </c>
      <c r="G264" s="59">
        <f>G265+G292</f>
        <v>603992</v>
      </c>
      <c r="H264" s="59">
        <f t="shared" ref="H264:N264" si="144">H265+H292</f>
        <v>6195</v>
      </c>
      <c r="I264" s="59">
        <f t="shared" si="144"/>
        <v>5526</v>
      </c>
      <c r="J264" s="60">
        <f t="shared" si="144"/>
        <v>5526</v>
      </c>
      <c r="K264" s="29">
        <f>'1.02.'!M262</f>
        <v>2434.3649999999998</v>
      </c>
      <c r="L264" s="60">
        <f t="shared" si="144"/>
        <v>3091.6350000000002</v>
      </c>
      <c r="M264" s="59">
        <f t="shared" si="144"/>
        <v>5526</v>
      </c>
      <c r="N264" s="29">
        <f t="shared" si="144"/>
        <v>0</v>
      </c>
      <c r="O264" s="68">
        <f t="shared" ref="O264:O268" si="145">M264/I264*100</f>
        <v>100</v>
      </c>
      <c r="P264" s="71">
        <f t="shared" si="106"/>
        <v>0</v>
      </c>
      <c r="Q264" s="35">
        <f t="shared" si="107"/>
        <v>669</v>
      </c>
      <c r="R264" s="72">
        <v>1103833</v>
      </c>
      <c r="S264" s="72">
        <f t="shared" si="108"/>
        <v>598466</v>
      </c>
      <c r="T264" s="62">
        <f t="shared" si="129"/>
        <v>598466</v>
      </c>
    </row>
    <row r="265" spans="1:20" ht="38.25">
      <c r="A265" s="8"/>
      <c r="B265" s="8"/>
      <c r="C265" s="17" t="s">
        <v>38</v>
      </c>
      <c r="D265" s="17"/>
      <c r="E265" s="21"/>
      <c r="F265" s="139" t="s">
        <v>121</v>
      </c>
      <c r="G265" s="42">
        <f>G273</f>
        <v>603992</v>
      </c>
      <c r="H265" s="42">
        <f t="shared" ref="H265:N265" si="146">H273</f>
        <v>6195</v>
      </c>
      <c r="I265" s="42">
        <f t="shared" si="146"/>
        <v>5526</v>
      </c>
      <c r="J265" s="42">
        <f t="shared" si="146"/>
        <v>5526</v>
      </c>
      <c r="K265" s="29">
        <f>'1.02.'!M263</f>
        <v>2434.3649999999998</v>
      </c>
      <c r="L265" s="60">
        <f t="shared" si="146"/>
        <v>3091.6350000000002</v>
      </c>
      <c r="M265" s="42">
        <f t="shared" si="146"/>
        <v>5526</v>
      </c>
      <c r="N265" s="29">
        <f t="shared" si="146"/>
        <v>0</v>
      </c>
      <c r="O265" s="68">
        <f t="shared" si="145"/>
        <v>100</v>
      </c>
      <c r="P265" s="71">
        <f t="shared" si="106"/>
        <v>0</v>
      </c>
      <c r="Q265" s="35">
        <f t="shared" si="107"/>
        <v>669</v>
      </c>
      <c r="R265" s="72">
        <v>1103834</v>
      </c>
      <c r="S265" s="72">
        <f t="shared" si="108"/>
        <v>598466</v>
      </c>
      <c r="T265" s="62">
        <f t="shared" si="129"/>
        <v>598466</v>
      </c>
    </row>
    <row r="266" spans="1:20" hidden="1">
      <c r="A266" s="8"/>
      <c r="B266" s="8"/>
      <c r="C266" s="8"/>
      <c r="D266" s="17" t="s">
        <v>28</v>
      </c>
      <c r="E266" s="10"/>
      <c r="F266" s="135" t="s">
        <v>85</v>
      </c>
      <c r="G266" s="42">
        <f>SUM(G267:G272)</f>
        <v>0</v>
      </c>
      <c r="H266" s="42">
        <f t="shared" ref="H266:N266" si="147">SUM(H267:H272)</f>
        <v>0</v>
      </c>
      <c r="I266" s="42">
        <f t="shared" si="147"/>
        <v>0</v>
      </c>
      <c r="J266" s="33" t="e">
        <f t="shared" si="147"/>
        <v>#REF!</v>
      </c>
      <c r="K266" s="29" t="e">
        <f>'1.02.'!M264</f>
        <v>#REF!</v>
      </c>
      <c r="L266" s="33">
        <f t="shared" si="147"/>
        <v>0</v>
      </c>
      <c r="M266" s="60" t="e">
        <f t="shared" si="147"/>
        <v>#REF!</v>
      </c>
      <c r="N266" s="60" t="e">
        <f t="shared" si="147"/>
        <v>#REF!</v>
      </c>
      <c r="O266" s="68" t="e">
        <f t="shared" si="145"/>
        <v>#REF!</v>
      </c>
      <c r="P266" s="71" t="e">
        <f t="shared" si="106"/>
        <v>#REF!</v>
      </c>
      <c r="Q266" s="35" t="e">
        <f t="shared" si="107"/>
        <v>#REF!</v>
      </c>
      <c r="R266" s="72">
        <v>1103835</v>
      </c>
      <c r="S266" s="72" t="e">
        <f t="shared" si="108"/>
        <v>#REF!</v>
      </c>
      <c r="T266" s="62" t="e">
        <f t="shared" si="129"/>
        <v>#REF!</v>
      </c>
    </row>
    <row r="267" spans="1:20" s="73" customFormat="1" hidden="1">
      <c r="A267" s="9"/>
      <c r="B267" s="9"/>
      <c r="C267" s="9"/>
      <c r="D267" s="69"/>
      <c r="E267" s="69">
        <v>111</v>
      </c>
      <c r="F267" s="3" t="s">
        <v>0</v>
      </c>
      <c r="G267" s="26"/>
      <c r="H267" s="26"/>
      <c r="I267" s="26"/>
      <c r="J267" s="105" t="e">
        <f t="shared" ref="J267:J272" si="148">M267</f>
        <v>#REF!</v>
      </c>
      <c r="K267" s="29" t="e">
        <f>'1.02.'!M265</f>
        <v>#REF!</v>
      </c>
      <c r="L267" s="27"/>
      <c r="M267" s="71" t="e">
        <f t="shared" ref="M267:M272" si="149">K267+L267</f>
        <v>#REF!</v>
      </c>
      <c r="N267" s="35" t="e">
        <f t="shared" ref="N267:N272" si="150">I267-M267</f>
        <v>#REF!</v>
      </c>
      <c r="O267" s="70" t="e">
        <f t="shared" si="145"/>
        <v>#REF!</v>
      </c>
      <c r="P267" s="71" t="e">
        <f t="shared" si="106"/>
        <v>#REF!</v>
      </c>
      <c r="Q267" s="35" t="e">
        <f t="shared" si="107"/>
        <v>#REF!</v>
      </c>
      <c r="R267" s="72">
        <v>1103836</v>
      </c>
      <c r="S267" s="72" t="e">
        <f t="shared" si="108"/>
        <v>#REF!</v>
      </c>
      <c r="T267" s="62" t="e">
        <f t="shared" si="129"/>
        <v>#REF!</v>
      </c>
    </row>
    <row r="268" spans="1:20" hidden="1">
      <c r="A268" s="9"/>
      <c r="B268" s="9"/>
      <c r="C268" s="9"/>
      <c r="D268" s="69"/>
      <c r="E268" s="76">
        <v>113</v>
      </c>
      <c r="F268" s="3" t="s">
        <v>1</v>
      </c>
      <c r="G268" s="26"/>
      <c r="H268" s="26"/>
      <c r="I268" s="26"/>
      <c r="J268" s="105" t="e">
        <f t="shared" si="148"/>
        <v>#REF!</v>
      </c>
      <c r="K268" s="29" t="e">
        <f>'1.02.'!M266</f>
        <v>#REF!</v>
      </c>
      <c r="L268" s="27"/>
      <c r="M268" s="71" t="e">
        <f t="shared" si="149"/>
        <v>#REF!</v>
      </c>
      <c r="N268" s="35" t="e">
        <f t="shared" si="150"/>
        <v>#REF!</v>
      </c>
      <c r="O268" s="70" t="e">
        <f t="shared" si="145"/>
        <v>#REF!</v>
      </c>
      <c r="P268" s="71" t="e">
        <f t="shared" ref="P268:P296" si="151">J268-M268</f>
        <v>#REF!</v>
      </c>
      <c r="Q268" s="35" t="e">
        <f t="shared" ref="Q268:Q296" si="152">H268-J268</f>
        <v>#REF!</v>
      </c>
      <c r="R268" s="72">
        <v>1103837</v>
      </c>
      <c r="S268" s="72" t="e">
        <f t="shared" ref="S268:S296" si="153">G268-M268</f>
        <v>#REF!</v>
      </c>
      <c r="T268" s="62" t="e">
        <f t="shared" si="129"/>
        <v>#REF!</v>
      </c>
    </row>
    <row r="269" spans="1:20" hidden="1">
      <c r="A269" s="9"/>
      <c r="B269" s="9"/>
      <c r="C269" s="9"/>
      <c r="D269" s="69"/>
      <c r="E269" s="69">
        <v>116</v>
      </c>
      <c r="F269" s="3" t="s">
        <v>42</v>
      </c>
      <c r="G269" s="26"/>
      <c r="H269" s="26"/>
      <c r="I269" s="26"/>
      <c r="J269" s="105" t="e">
        <f t="shared" si="148"/>
        <v>#REF!</v>
      </c>
      <c r="K269" s="29" t="e">
        <f>'1.02.'!M267</f>
        <v>#REF!</v>
      </c>
      <c r="L269" s="27"/>
      <c r="M269" s="71" t="e">
        <f t="shared" si="149"/>
        <v>#REF!</v>
      </c>
      <c r="N269" s="35" t="e">
        <f t="shared" si="150"/>
        <v>#REF!</v>
      </c>
      <c r="O269" s="70" t="e">
        <f>M269/I269*100</f>
        <v>#REF!</v>
      </c>
      <c r="P269" s="71" t="e">
        <f t="shared" si="151"/>
        <v>#REF!</v>
      </c>
      <c r="Q269" s="35" t="e">
        <f t="shared" si="152"/>
        <v>#REF!</v>
      </c>
      <c r="R269" s="72">
        <v>1103838</v>
      </c>
      <c r="S269" s="72" t="e">
        <f t="shared" si="153"/>
        <v>#REF!</v>
      </c>
    </row>
    <row r="270" spans="1:20" s="73" customFormat="1" hidden="1">
      <c r="A270" s="9"/>
      <c r="B270" s="9"/>
      <c r="C270" s="9"/>
      <c r="D270" s="69"/>
      <c r="E270" s="69">
        <v>121</v>
      </c>
      <c r="F270" s="3" t="s">
        <v>2</v>
      </c>
      <c r="G270" s="26"/>
      <c r="H270" s="26"/>
      <c r="I270" s="26"/>
      <c r="J270" s="105" t="e">
        <f t="shared" si="148"/>
        <v>#REF!</v>
      </c>
      <c r="K270" s="29" t="e">
        <f>'1.02.'!M268</f>
        <v>#REF!</v>
      </c>
      <c r="L270" s="27"/>
      <c r="M270" s="71" t="e">
        <f t="shared" si="149"/>
        <v>#REF!</v>
      </c>
      <c r="N270" s="35" t="e">
        <f t="shared" si="150"/>
        <v>#REF!</v>
      </c>
      <c r="O270" s="70" t="e">
        <f>M270/I270*100</f>
        <v>#REF!</v>
      </c>
      <c r="P270" s="71" t="e">
        <f t="shared" si="151"/>
        <v>#REF!</v>
      </c>
      <c r="Q270" s="35" t="e">
        <f t="shared" si="152"/>
        <v>#REF!</v>
      </c>
      <c r="R270" s="72">
        <v>1103839</v>
      </c>
      <c r="S270" s="72" t="e">
        <f t="shared" si="153"/>
        <v>#REF!</v>
      </c>
      <c r="T270" s="62" t="e">
        <f t="shared" ref="T270:T274" si="154">G270-J270</f>
        <v>#REF!</v>
      </c>
    </row>
    <row r="271" spans="1:20" s="73" customFormat="1" ht="25.5" hidden="1">
      <c r="A271" s="9"/>
      <c r="B271" s="9"/>
      <c r="C271" s="9"/>
      <c r="D271" s="69"/>
      <c r="E271" s="69">
        <v>122</v>
      </c>
      <c r="F271" s="3" t="s">
        <v>3</v>
      </c>
      <c r="G271" s="26"/>
      <c r="H271" s="26"/>
      <c r="I271" s="26"/>
      <c r="J271" s="105" t="e">
        <f t="shared" si="148"/>
        <v>#REF!</v>
      </c>
      <c r="K271" s="29" t="e">
        <f>'1.02.'!M269</f>
        <v>#REF!</v>
      </c>
      <c r="L271" s="27"/>
      <c r="M271" s="71" t="e">
        <f t="shared" si="149"/>
        <v>#REF!</v>
      </c>
      <c r="N271" s="35" t="e">
        <f t="shared" si="150"/>
        <v>#REF!</v>
      </c>
      <c r="O271" s="70" t="e">
        <f t="shared" ref="O271:O276" si="155">M271/I271*100</f>
        <v>#REF!</v>
      </c>
      <c r="P271" s="71" t="e">
        <f t="shared" si="151"/>
        <v>#REF!</v>
      </c>
      <c r="Q271" s="35" t="e">
        <f t="shared" si="152"/>
        <v>#REF!</v>
      </c>
      <c r="R271" s="72">
        <v>1103840</v>
      </c>
      <c r="S271" s="72" t="e">
        <f t="shared" si="153"/>
        <v>#REF!</v>
      </c>
      <c r="T271" s="62" t="e">
        <f t="shared" si="154"/>
        <v>#REF!</v>
      </c>
    </row>
    <row r="272" spans="1:20" s="73" customFormat="1" ht="25.5" hidden="1">
      <c r="A272" s="9"/>
      <c r="B272" s="9"/>
      <c r="C272" s="9"/>
      <c r="D272" s="69"/>
      <c r="E272" s="69">
        <v>124</v>
      </c>
      <c r="F272" s="3" t="s">
        <v>19</v>
      </c>
      <c r="G272" s="26"/>
      <c r="H272" s="26"/>
      <c r="I272" s="26"/>
      <c r="J272" s="105" t="e">
        <f t="shared" si="148"/>
        <v>#REF!</v>
      </c>
      <c r="K272" s="29" t="e">
        <f>'1.02.'!M270</f>
        <v>#REF!</v>
      </c>
      <c r="L272" s="27"/>
      <c r="M272" s="71" t="e">
        <f t="shared" si="149"/>
        <v>#REF!</v>
      </c>
      <c r="N272" s="35" t="e">
        <f t="shared" si="150"/>
        <v>#REF!</v>
      </c>
      <c r="O272" s="70" t="e">
        <f t="shared" si="155"/>
        <v>#REF!</v>
      </c>
      <c r="P272" s="71" t="e">
        <f t="shared" si="151"/>
        <v>#REF!</v>
      </c>
      <c r="Q272" s="35" t="e">
        <f t="shared" si="152"/>
        <v>#REF!</v>
      </c>
      <c r="R272" s="72">
        <v>1103841</v>
      </c>
      <c r="S272" s="72" t="e">
        <f t="shared" si="153"/>
        <v>#REF!</v>
      </c>
      <c r="T272" s="62" t="e">
        <f t="shared" si="154"/>
        <v>#REF!</v>
      </c>
    </row>
    <row r="273" spans="1:20">
      <c r="A273" s="8"/>
      <c r="B273" s="8"/>
      <c r="C273" s="17"/>
      <c r="D273" s="17" t="s">
        <v>7</v>
      </c>
      <c r="E273" s="10"/>
      <c r="F273" s="135" t="s">
        <v>85</v>
      </c>
      <c r="G273" s="40">
        <f>SUM(G274:G291)</f>
        <v>603992</v>
      </c>
      <c r="H273" s="40">
        <f>SUM(H274:H291)</f>
        <v>6195</v>
      </c>
      <c r="I273" s="40">
        <f>SUM(I274:I291)</f>
        <v>5526</v>
      </c>
      <c r="J273" s="24">
        <f t="shared" ref="J273" si="156">SUM(J274:J291)</f>
        <v>5526</v>
      </c>
      <c r="K273" s="29">
        <f>'1.02.'!M271</f>
        <v>2434.3649999999998</v>
      </c>
      <c r="L273" s="24">
        <f>SUM(L274:L291)</f>
        <v>3091.6350000000002</v>
      </c>
      <c r="M273" s="24">
        <f t="shared" ref="M273" si="157">SUM(M274:M291)</f>
        <v>5526</v>
      </c>
      <c r="N273" s="24">
        <f>SUM(N274:N291)</f>
        <v>0</v>
      </c>
      <c r="O273" s="66">
        <f t="shared" si="155"/>
        <v>100</v>
      </c>
      <c r="P273" s="71">
        <f t="shared" si="151"/>
        <v>0</v>
      </c>
      <c r="Q273" s="35">
        <f t="shared" si="152"/>
        <v>669</v>
      </c>
      <c r="R273" s="72">
        <v>1103842</v>
      </c>
      <c r="S273" s="72">
        <f t="shared" si="153"/>
        <v>598466</v>
      </c>
      <c r="T273" s="62">
        <f t="shared" si="154"/>
        <v>598466</v>
      </c>
    </row>
    <row r="274" spans="1:20">
      <c r="A274" s="8"/>
      <c r="B274" s="9"/>
      <c r="C274" s="9"/>
      <c r="D274" s="69"/>
      <c r="E274" s="69">
        <v>111</v>
      </c>
      <c r="F274" s="136" t="s">
        <v>86</v>
      </c>
      <c r="G274" s="26">
        <v>395706</v>
      </c>
      <c r="H274" s="26">
        <v>5136</v>
      </c>
      <c r="I274" s="26">
        <v>5136</v>
      </c>
      <c r="J274" s="105">
        <f>M274</f>
        <v>5136</v>
      </c>
      <c r="K274" s="35">
        <f>'1.02.'!M272</f>
        <v>2434.3649999999998</v>
      </c>
      <c r="L274" s="27">
        <v>2701.6350000000002</v>
      </c>
      <c r="M274" s="92">
        <f t="shared" ref="M274:M276" si="158">K274+L274</f>
        <v>5136</v>
      </c>
      <c r="N274" s="93">
        <f t="shared" ref="N274:N276" si="159">I274-M274</f>
        <v>0</v>
      </c>
      <c r="O274" s="70">
        <f t="shared" si="155"/>
        <v>100</v>
      </c>
      <c r="P274" s="71">
        <f t="shared" si="151"/>
        <v>0</v>
      </c>
      <c r="Q274" s="35">
        <f t="shared" si="152"/>
        <v>0</v>
      </c>
      <c r="R274" s="72">
        <v>1103843</v>
      </c>
      <c r="S274" s="72">
        <f t="shared" si="153"/>
        <v>390570</v>
      </c>
      <c r="T274" s="62">
        <f t="shared" si="154"/>
        <v>390570</v>
      </c>
    </row>
    <row r="275" spans="1:20">
      <c r="A275" s="8"/>
      <c r="B275" s="9"/>
      <c r="C275" s="9"/>
      <c r="D275" s="69"/>
      <c r="E275" s="69">
        <v>112</v>
      </c>
      <c r="F275" s="136" t="s">
        <v>87</v>
      </c>
      <c r="G275" s="26"/>
      <c r="H275" s="26"/>
      <c r="I275" s="26"/>
      <c r="J275" s="105">
        <f t="shared" ref="J275:J291" si="160">M275</f>
        <v>0</v>
      </c>
      <c r="K275" s="35">
        <f>'1.02.'!M273</f>
        <v>0</v>
      </c>
      <c r="L275" s="27"/>
      <c r="M275" s="92">
        <f t="shared" si="158"/>
        <v>0</v>
      </c>
      <c r="N275" s="93">
        <f t="shared" si="159"/>
        <v>0</v>
      </c>
      <c r="O275" s="70" t="e">
        <f t="shared" si="155"/>
        <v>#DIV/0!</v>
      </c>
      <c r="P275" s="71">
        <f t="shared" si="151"/>
        <v>0</v>
      </c>
      <c r="Q275" s="35">
        <f t="shared" si="152"/>
        <v>0</v>
      </c>
      <c r="R275" s="72">
        <v>1103844</v>
      </c>
      <c r="S275" s="72">
        <f t="shared" si="153"/>
        <v>0</v>
      </c>
    </row>
    <row r="276" spans="1:20">
      <c r="A276" s="8"/>
      <c r="B276" s="9"/>
      <c r="C276" s="9"/>
      <c r="D276" s="69"/>
      <c r="E276" s="76">
        <v>113</v>
      </c>
      <c r="F276" s="136" t="s">
        <v>88</v>
      </c>
      <c r="G276" s="26">
        <v>19666</v>
      </c>
      <c r="H276" s="26"/>
      <c r="I276" s="26"/>
      <c r="J276" s="105">
        <f t="shared" si="160"/>
        <v>0</v>
      </c>
      <c r="K276" s="35">
        <f>'1.02.'!M274</f>
        <v>0</v>
      </c>
      <c r="L276" s="27"/>
      <c r="M276" s="92">
        <f t="shared" si="158"/>
        <v>0</v>
      </c>
      <c r="N276" s="93">
        <f t="shared" si="159"/>
        <v>0</v>
      </c>
      <c r="O276" s="70" t="e">
        <f t="shared" si="155"/>
        <v>#DIV/0!</v>
      </c>
      <c r="P276" s="71">
        <f t="shared" si="151"/>
        <v>0</v>
      </c>
      <c r="Q276" s="35">
        <f t="shared" si="152"/>
        <v>0</v>
      </c>
      <c r="R276" s="72">
        <v>1103845</v>
      </c>
      <c r="S276" s="72">
        <f t="shared" si="153"/>
        <v>19666</v>
      </c>
      <c r="T276" s="62">
        <f t="shared" ref="T276" si="161">G276-J276</f>
        <v>19666</v>
      </c>
    </row>
    <row r="277" spans="1:20">
      <c r="A277" s="8"/>
      <c r="B277" s="9"/>
      <c r="C277" s="9"/>
      <c r="D277" s="69"/>
      <c r="E277" s="69">
        <v>116</v>
      </c>
      <c r="F277" s="136" t="s">
        <v>89</v>
      </c>
      <c r="G277" s="26">
        <v>13850</v>
      </c>
      <c r="H277" s="26">
        <v>45</v>
      </c>
      <c r="I277" s="26">
        <v>45</v>
      </c>
      <c r="J277" s="105">
        <f t="shared" si="160"/>
        <v>45</v>
      </c>
      <c r="K277" s="35">
        <f>'1.02.'!M275</f>
        <v>0</v>
      </c>
      <c r="L277" s="27">
        <v>45</v>
      </c>
      <c r="M277" s="92">
        <f>K277+L277</f>
        <v>45</v>
      </c>
      <c r="N277" s="93">
        <f>I277-M277</f>
        <v>0</v>
      </c>
      <c r="O277" s="70">
        <f>M277/I277*100</f>
        <v>100</v>
      </c>
      <c r="P277" s="71">
        <f t="shared" si="151"/>
        <v>0</v>
      </c>
      <c r="Q277" s="35">
        <f t="shared" si="152"/>
        <v>0</v>
      </c>
      <c r="R277" s="72">
        <v>1103846</v>
      </c>
      <c r="S277" s="72">
        <f t="shared" si="153"/>
        <v>13805</v>
      </c>
    </row>
    <row r="278" spans="1:20">
      <c r="A278" s="8"/>
      <c r="B278" s="9"/>
      <c r="C278" s="9"/>
      <c r="D278" s="69"/>
      <c r="E278" s="69">
        <v>121</v>
      </c>
      <c r="F278" s="136" t="s">
        <v>90</v>
      </c>
      <c r="G278" s="26">
        <v>20498</v>
      </c>
      <c r="H278" s="26">
        <v>129</v>
      </c>
      <c r="I278" s="26">
        <v>129</v>
      </c>
      <c r="J278" s="105">
        <f t="shared" si="160"/>
        <v>129</v>
      </c>
      <c r="K278" s="35">
        <f>'1.02.'!M276</f>
        <v>0</v>
      </c>
      <c r="L278" s="27">
        <v>129</v>
      </c>
      <c r="M278" s="92">
        <f t="shared" ref="M278:M290" si="162">K278+L278</f>
        <v>129</v>
      </c>
      <c r="N278" s="93">
        <f t="shared" ref="N278:N291" si="163">I278-M278</f>
        <v>0</v>
      </c>
      <c r="O278" s="70">
        <f t="shared" ref="O278:O291" si="164">M278/I278*100</f>
        <v>100</v>
      </c>
      <c r="P278" s="71">
        <f t="shared" si="151"/>
        <v>0</v>
      </c>
      <c r="Q278" s="35">
        <f t="shared" si="152"/>
        <v>0</v>
      </c>
      <c r="R278" s="72">
        <v>1103847</v>
      </c>
      <c r="S278" s="72">
        <f t="shared" si="153"/>
        <v>20369</v>
      </c>
      <c r="T278" s="62">
        <f t="shared" ref="T278:T287" si="165">G278-J278</f>
        <v>20369</v>
      </c>
    </row>
    <row r="279" spans="1:20" ht="25.5">
      <c r="A279" s="8"/>
      <c r="B279" s="9"/>
      <c r="C279" s="9"/>
      <c r="D279" s="69"/>
      <c r="E279" s="69">
        <v>122</v>
      </c>
      <c r="F279" s="136" t="s">
        <v>91</v>
      </c>
      <c r="G279" s="26">
        <v>17807</v>
      </c>
      <c r="H279" s="26">
        <v>109</v>
      </c>
      <c r="I279" s="26">
        <v>109</v>
      </c>
      <c r="J279" s="105">
        <f t="shared" si="160"/>
        <v>109</v>
      </c>
      <c r="K279" s="35">
        <f>'1.02.'!M277</f>
        <v>0</v>
      </c>
      <c r="L279" s="27">
        <v>109</v>
      </c>
      <c r="M279" s="92">
        <f t="shared" si="162"/>
        <v>109</v>
      </c>
      <c r="N279" s="93">
        <f t="shared" si="163"/>
        <v>0</v>
      </c>
      <c r="O279" s="70">
        <f t="shared" si="164"/>
        <v>100</v>
      </c>
      <c r="P279" s="71">
        <f t="shared" si="151"/>
        <v>0</v>
      </c>
      <c r="Q279" s="35">
        <f t="shared" si="152"/>
        <v>0</v>
      </c>
      <c r="R279" s="72">
        <v>1103848</v>
      </c>
      <c r="S279" s="72">
        <f t="shared" si="153"/>
        <v>17698</v>
      </c>
      <c r="T279" s="62">
        <f t="shared" si="165"/>
        <v>17698</v>
      </c>
    </row>
    <row r="280" spans="1:20">
      <c r="A280" s="8"/>
      <c r="B280" s="9"/>
      <c r="C280" s="9"/>
      <c r="D280" s="69"/>
      <c r="E280" s="69">
        <v>123</v>
      </c>
      <c r="F280" s="136" t="s">
        <v>92</v>
      </c>
      <c r="G280" s="26"/>
      <c r="H280" s="26"/>
      <c r="I280" s="26"/>
      <c r="J280" s="105">
        <f t="shared" si="160"/>
        <v>0</v>
      </c>
      <c r="K280" s="35">
        <f>'1.02.'!M278</f>
        <v>0</v>
      </c>
      <c r="L280" s="27"/>
      <c r="M280" s="92">
        <f t="shared" si="162"/>
        <v>0</v>
      </c>
      <c r="N280" s="93">
        <f t="shared" si="163"/>
        <v>0</v>
      </c>
      <c r="O280" s="70" t="e">
        <f t="shared" si="164"/>
        <v>#DIV/0!</v>
      </c>
      <c r="P280" s="71">
        <f t="shared" si="151"/>
        <v>0</v>
      </c>
      <c r="Q280" s="35">
        <f t="shared" si="152"/>
        <v>0</v>
      </c>
      <c r="R280" s="72">
        <v>1103849</v>
      </c>
      <c r="S280" s="72">
        <f t="shared" si="153"/>
        <v>0</v>
      </c>
      <c r="T280" s="62">
        <f t="shared" si="165"/>
        <v>0</v>
      </c>
    </row>
    <row r="281" spans="1:20">
      <c r="A281" s="9"/>
      <c r="B281" s="9"/>
      <c r="C281" s="9"/>
      <c r="D281" s="69"/>
      <c r="E281" s="69">
        <v>124</v>
      </c>
      <c r="F281" s="136" t="s">
        <v>93</v>
      </c>
      <c r="G281" s="26">
        <v>11872</v>
      </c>
      <c r="H281" s="26">
        <v>46</v>
      </c>
      <c r="I281" s="26">
        <v>46</v>
      </c>
      <c r="J281" s="105">
        <f t="shared" si="160"/>
        <v>46</v>
      </c>
      <c r="K281" s="35">
        <f>'1.02.'!M279</f>
        <v>0</v>
      </c>
      <c r="L281" s="27">
        <v>46</v>
      </c>
      <c r="M281" s="92">
        <f t="shared" si="162"/>
        <v>46</v>
      </c>
      <c r="N281" s="93">
        <f t="shared" si="163"/>
        <v>0</v>
      </c>
      <c r="O281" s="70">
        <f t="shared" si="164"/>
        <v>100</v>
      </c>
      <c r="P281" s="71">
        <f t="shared" si="151"/>
        <v>0</v>
      </c>
      <c r="Q281" s="35">
        <f t="shared" si="152"/>
        <v>0</v>
      </c>
      <c r="R281" s="72">
        <v>1103850</v>
      </c>
      <c r="S281" s="72">
        <f t="shared" si="153"/>
        <v>11826</v>
      </c>
      <c r="T281" s="62">
        <f t="shared" si="165"/>
        <v>11826</v>
      </c>
    </row>
    <row r="282" spans="1:20" s="73" customFormat="1">
      <c r="A282" s="9"/>
      <c r="B282" s="9"/>
      <c r="C282" s="9"/>
      <c r="D282" s="69"/>
      <c r="E282" s="69">
        <v>141</v>
      </c>
      <c r="F282" s="136" t="s">
        <v>116</v>
      </c>
      <c r="G282" s="26">
        <v>42256</v>
      </c>
      <c r="H282" s="26"/>
      <c r="I282" s="26"/>
      <c r="J282" s="105">
        <f t="shared" si="160"/>
        <v>0</v>
      </c>
      <c r="K282" s="35">
        <f>'1.02.'!M280</f>
        <v>0</v>
      </c>
      <c r="L282" s="27"/>
      <c r="M282" s="92">
        <f t="shared" si="162"/>
        <v>0</v>
      </c>
      <c r="N282" s="93">
        <f t="shared" si="163"/>
        <v>0</v>
      </c>
      <c r="O282" s="70" t="e">
        <f t="shared" si="164"/>
        <v>#DIV/0!</v>
      </c>
      <c r="P282" s="71">
        <f t="shared" si="151"/>
        <v>0</v>
      </c>
      <c r="Q282" s="35">
        <f t="shared" si="152"/>
        <v>0</v>
      </c>
      <c r="R282" s="72">
        <v>1103851</v>
      </c>
      <c r="S282" s="72">
        <f t="shared" si="153"/>
        <v>42256</v>
      </c>
      <c r="T282" s="62">
        <f t="shared" si="165"/>
        <v>42256</v>
      </c>
    </row>
    <row r="283" spans="1:20" ht="25.5">
      <c r="A283" s="9"/>
      <c r="B283" s="9"/>
      <c r="C283" s="9"/>
      <c r="D283" s="69"/>
      <c r="E283" s="69">
        <v>142</v>
      </c>
      <c r="F283" s="136" t="s">
        <v>122</v>
      </c>
      <c r="G283" s="26">
        <v>3014</v>
      </c>
      <c r="H283" s="26"/>
      <c r="I283" s="26"/>
      <c r="J283" s="105">
        <f t="shared" si="160"/>
        <v>0</v>
      </c>
      <c r="K283" s="35">
        <f>'1.02.'!M281</f>
        <v>0</v>
      </c>
      <c r="L283" s="27"/>
      <c r="M283" s="92">
        <f t="shared" si="162"/>
        <v>0</v>
      </c>
      <c r="N283" s="93">
        <f t="shared" si="163"/>
        <v>0</v>
      </c>
      <c r="O283" s="70" t="e">
        <f t="shared" si="164"/>
        <v>#DIV/0!</v>
      </c>
      <c r="P283" s="71">
        <f t="shared" si="151"/>
        <v>0</v>
      </c>
      <c r="Q283" s="35">
        <f t="shared" si="152"/>
        <v>0</v>
      </c>
      <c r="R283" s="72">
        <v>1103852</v>
      </c>
      <c r="S283" s="72">
        <f t="shared" si="153"/>
        <v>3014</v>
      </c>
      <c r="T283" s="62">
        <f t="shared" si="165"/>
        <v>3014</v>
      </c>
    </row>
    <row r="284" spans="1:20">
      <c r="A284" s="9"/>
      <c r="B284" s="9"/>
      <c r="C284" s="9"/>
      <c r="D284" s="69"/>
      <c r="E284" s="69">
        <v>144</v>
      </c>
      <c r="F284" s="136" t="s">
        <v>97</v>
      </c>
      <c r="G284" s="26">
        <v>400</v>
      </c>
      <c r="H284" s="26"/>
      <c r="I284" s="26"/>
      <c r="J284" s="105">
        <f t="shared" si="160"/>
        <v>0</v>
      </c>
      <c r="K284" s="35">
        <f>'1.02.'!M282</f>
        <v>0</v>
      </c>
      <c r="L284" s="27"/>
      <c r="M284" s="92">
        <f t="shared" si="162"/>
        <v>0</v>
      </c>
      <c r="N284" s="93">
        <f t="shared" si="163"/>
        <v>0</v>
      </c>
      <c r="O284" s="70" t="e">
        <f t="shared" si="164"/>
        <v>#DIV/0!</v>
      </c>
      <c r="P284" s="71">
        <f t="shared" si="151"/>
        <v>0</v>
      </c>
      <c r="Q284" s="35">
        <f t="shared" si="152"/>
        <v>0</v>
      </c>
      <c r="R284" s="72">
        <v>1103853</v>
      </c>
      <c r="S284" s="72">
        <f t="shared" si="153"/>
        <v>400</v>
      </c>
      <c r="T284" s="62">
        <f t="shared" si="165"/>
        <v>400</v>
      </c>
    </row>
    <row r="285" spans="1:20">
      <c r="A285" s="9"/>
      <c r="B285" s="9"/>
      <c r="C285" s="9"/>
      <c r="D285" s="69"/>
      <c r="E285" s="69">
        <v>149</v>
      </c>
      <c r="F285" s="136" t="s">
        <v>98</v>
      </c>
      <c r="G285" s="26">
        <v>7350</v>
      </c>
      <c r="H285" s="26"/>
      <c r="I285" s="26"/>
      <c r="J285" s="105">
        <f t="shared" si="160"/>
        <v>0</v>
      </c>
      <c r="K285" s="35">
        <f>'1.02.'!M283</f>
        <v>0</v>
      </c>
      <c r="L285" s="27"/>
      <c r="M285" s="92">
        <f t="shared" si="162"/>
        <v>0</v>
      </c>
      <c r="N285" s="93">
        <f>I285-M285</f>
        <v>0</v>
      </c>
      <c r="O285" s="70" t="e">
        <f t="shared" si="164"/>
        <v>#DIV/0!</v>
      </c>
      <c r="P285" s="71">
        <f t="shared" si="151"/>
        <v>0</v>
      </c>
      <c r="Q285" s="35">
        <f t="shared" si="152"/>
        <v>0</v>
      </c>
      <c r="R285" s="72">
        <v>1103854</v>
      </c>
      <c r="S285" s="72">
        <f t="shared" si="153"/>
        <v>7350</v>
      </c>
      <c r="T285" s="62">
        <f t="shared" si="165"/>
        <v>7350</v>
      </c>
    </row>
    <row r="286" spans="1:20">
      <c r="A286" s="9"/>
      <c r="B286" s="9"/>
      <c r="C286" s="9"/>
      <c r="D286" s="69"/>
      <c r="E286" s="69">
        <v>151</v>
      </c>
      <c r="F286" s="136" t="s">
        <v>99</v>
      </c>
      <c r="G286" s="26">
        <v>46563</v>
      </c>
      <c r="H286" s="26"/>
      <c r="I286" s="26"/>
      <c r="J286" s="105">
        <f t="shared" si="160"/>
        <v>0</v>
      </c>
      <c r="K286" s="35">
        <f>'1.02.'!M284</f>
        <v>0</v>
      </c>
      <c r="L286" s="27"/>
      <c r="M286" s="92">
        <f t="shared" si="162"/>
        <v>0</v>
      </c>
      <c r="N286" s="93">
        <f t="shared" si="163"/>
        <v>0</v>
      </c>
      <c r="O286" s="70" t="e">
        <f t="shared" si="164"/>
        <v>#DIV/0!</v>
      </c>
      <c r="P286" s="71">
        <f t="shared" si="151"/>
        <v>0</v>
      </c>
      <c r="Q286" s="35">
        <f t="shared" si="152"/>
        <v>0</v>
      </c>
      <c r="R286" s="72">
        <v>1103855</v>
      </c>
      <c r="S286" s="72">
        <f t="shared" si="153"/>
        <v>46563</v>
      </c>
      <c r="T286" s="62">
        <f t="shared" si="165"/>
        <v>46563</v>
      </c>
    </row>
    <row r="287" spans="1:20" hidden="1">
      <c r="A287" s="9"/>
      <c r="B287" s="9"/>
      <c r="C287" s="9"/>
      <c r="D287" s="69"/>
      <c r="E287" s="69">
        <v>152</v>
      </c>
      <c r="F287" s="136" t="s">
        <v>100</v>
      </c>
      <c r="G287" s="26"/>
      <c r="H287" s="26"/>
      <c r="I287" s="26"/>
      <c r="J287" s="105">
        <f t="shared" si="160"/>
        <v>0</v>
      </c>
      <c r="K287" s="35">
        <f>'1.02.'!M285</f>
        <v>0</v>
      </c>
      <c r="L287" s="27"/>
      <c r="M287" s="92">
        <f t="shared" si="162"/>
        <v>0</v>
      </c>
      <c r="N287" s="93">
        <f t="shared" si="163"/>
        <v>0</v>
      </c>
      <c r="O287" s="70" t="e">
        <f t="shared" si="164"/>
        <v>#DIV/0!</v>
      </c>
      <c r="P287" s="71">
        <f t="shared" si="151"/>
        <v>0</v>
      </c>
      <c r="Q287" s="35">
        <f t="shared" si="152"/>
        <v>0</v>
      </c>
      <c r="R287" s="72">
        <v>1103856</v>
      </c>
      <c r="S287" s="72">
        <f t="shared" si="153"/>
        <v>0</v>
      </c>
      <c r="T287" s="62">
        <f t="shared" si="165"/>
        <v>0</v>
      </c>
    </row>
    <row r="288" spans="1:20" ht="25.5">
      <c r="A288" s="9"/>
      <c r="B288" s="9"/>
      <c r="C288" s="9"/>
      <c r="D288" s="69"/>
      <c r="E288" s="69">
        <v>158</v>
      </c>
      <c r="F288" s="136" t="s">
        <v>101</v>
      </c>
      <c r="G288" s="26">
        <v>730</v>
      </c>
      <c r="H288" s="26">
        <v>730</v>
      </c>
      <c r="I288" s="26">
        <v>61</v>
      </c>
      <c r="J288" s="105">
        <f t="shared" si="160"/>
        <v>61</v>
      </c>
      <c r="K288" s="35">
        <f>'1.02.'!M286</f>
        <v>0</v>
      </c>
      <c r="L288" s="27">
        <v>61</v>
      </c>
      <c r="M288" s="92">
        <f t="shared" si="162"/>
        <v>61</v>
      </c>
      <c r="N288" s="93">
        <f t="shared" si="163"/>
        <v>0</v>
      </c>
      <c r="O288" s="70">
        <f t="shared" si="164"/>
        <v>100</v>
      </c>
      <c r="P288" s="71">
        <f t="shared" si="151"/>
        <v>0</v>
      </c>
      <c r="Q288" s="35">
        <f t="shared" si="152"/>
        <v>669</v>
      </c>
      <c r="R288" s="72">
        <v>1103857</v>
      </c>
      <c r="S288" s="72">
        <f t="shared" si="153"/>
        <v>669</v>
      </c>
    </row>
    <row r="289" spans="1:20">
      <c r="A289" s="9"/>
      <c r="B289" s="9"/>
      <c r="C289" s="9"/>
      <c r="D289" s="69"/>
      <c r="E289" s="69">
        <v>159</v>
      </c>
      <c r="F289" s="136" t="s">
        <v>84</v>
      </c>
      <c r="G289" s="26">
        <v>24280</v>
      </c>
      <c r="H289" s="26"/>
      <c r="I289" s="26"/>
      <c r="J289" s="105">
        <f t="shared" si="160"/>
        <v>0</v>
      </c>
      <c r="K289" s="35">
        <f>'1.02.'!M287</f>
        <v>0</v>
      </c>
      <c r="L289" s="27"/>
      <c r="M289" s="92">
        <f t="shared" si="162"/>
        <v>0</v>
      </c>
      <c r="N289" s="93">
        <f t="shared" si="163"/>
        <v>0</v>
      </c>
      <c r="O289" s="70" t="e">
        <f t="shared" si="164"/>
        <v>#DIV/0!</v>
      </c>
      <c r="P289" s="71">
        <f t="shared" si="151"/>
        <v>0</v>
      </c>
      <c r="Q289" s="35">
        <f t="shared" si="152"/>
        <v>0</v>
      </c>
      <c r="R289" s="72">
        <v>1103858</v>
      </c>
      <c r="S289" s="72">
        <f t="shared" si="153"/>
        <v>24280</v>
      </c>
      <c r="T289" s="62">
        <f t="shared" ref="T289:T291" si="166">G289-J289</f>
        <v>24280</v>
      </c>
    </row>
    <row r="290" spans="1:20">
      <c r="A290" s="9"/>
      <c r="B290" s="9"/>
      <c r="C290" s="9"/>
      <c r="D290" s="69"/>
      <c r="E290" s="69">
        <v>161</v>
      </c>
      <c r="F290" s="136" t="s">
        <v>102</v>
      </c>
      <c r="G290" s="26"/>
      <c r="H290" s="26"/>
      <c r="I290" s="26"/>
      <c r="J290" s="105">
        <f t="shared" si="160"/>
        <v>0</v>
      </c>
      <c r="K290" s="35">
        <f>'1.02.'!M288</f>
        <v>0</v>
      </c>
      <c r="L290" s="27"/>
      <c r="M290" s="92">
        <f t="shared" si="162"/>
        <v>0</v>
      </c>
      <c r="N290" s="93">
        <f t="shared" si="163"/>
        <v>0</v>
      </c>
      <c r="O290" s="70" t="e">
        <f t="shared" si="164"/>
        <v>#DIV/0!</v>
      </c>
      <c r="P290" s="71">
        <f t="shared" si="151"/>
        <v>0</v>
      </c>
      <c r="Q290" s="35">
        <f t="shared" si="152"/>
        <v>0</v>
      </c>
      <c r="R290" s="72">
        <v>1103859</v>
      </c>
      <c r="S290" s="72">
        <f t="shared" si="153"/>
        <v>0</v>
      </c>
      <c r="T290" s="62">
        <f t="shared" si="166"/>
        <v>0</v>
      </c>
    </row>
    <row r="291" spans="1:20">
      <c r="A291" s="9"/>
      <c r="B291" s="9"/>
      <c r="C291" s="9"/>
      <c r="D291" s="69"/>
      <c r="E291" s="69">
        <v>169</v>
      </c>
      <c r="F291" s="136" t="s">
        <v>103</v>
      </c>
      <c r="G291" s="26"/>
      <c r="H291" s="26"/>
      <c r="I291" s="26"/>
      <c r="J291" s="105">
        <f t="shared" si="160"/>
        <v>0</v>
      </c>
      <c r="K291" s="35">
        <f>'1.02.'!M289</f>
        <v>0</v>
      </c>
      <c r="L291" s="27"/>
      <c r="M291" s="92">
        <f>K291+L291</f>
        <v>0</v>
      </c>
      <c r="N291" s="93">
        <f t="shared" si="163"/>
        <v>0</v>
      </c>
      <c r="O291" s="70" t="e">
        <f t="shared" si="164"/>
        <v>#DIV/0!</v>
      </c>
      <c r="P291" s="71">
        <f t="shared" si="151"/>
        <v>0</v>
      </c>
      <c r="Q291" s="35">
        <f t="shared" si="152"/>
        <v>0</v>
      </c>
      <c r="R291" s="72">
        <v>1103860</v>
      </c>
      <c r="S291" s="72">
        <f t="shared" si="153"/>
        <v>0</v>
      </c>
      <c r="T291" s="62">
        <f t="shared" si="166"/>
        <v>0</v>
      </c>
    </row>
    <row r="292" spans="1:20" ht="25.5">
      <c r="A292" s="100"/>
      <c r="B292" s="15"/>
      <c r="C292" s="57" t="s">
        <v>43</v>
      </c>
      <c r="D292" s="16"/>
      <c r="E292" s="20"/>
      <c r="F292" s="139" t="s">
        <v>119</v>
      </c>
      <c r="G292" s="59">
        <f t="shared" ref="G292:N292" si="167">G293</f>
        <v>0</v>
      </c>
      <c r="H292" s="59">
        <f t="shared" si="167"/>
        <v>0</v>
      </c>
      <c r="I292" s="59">
        <f t="shared" si="167"/>
        <v>0</v>
      </c>
      <c r="J292" s="29">
        <f t="shared" si="167"/>
        <v>0</v>
      </c>
      <c r="K292" s="35">
        <f>'1.02.'!M290</f>
        <v>0</v>
      </c>
      <c r="L292" s="59"/>
      <c r="M292" s="29">
        <f t="shared" si="167"/>
        <v>0</v>
      </c>
      <c r="N292" s="29">
        <f t="shared" si="167"/>
        <v>0</v>
      </c>
      <c r="O292" s="70"/>
      <c r="P292" s="71">
        <f t="shared" si="151"/>
        <v>0</v>
      </c>
      <c r="Q292" s="35">
        <f t="shared" si="152"/>
        <v>0</v>
      </c>
      <c r="R292" s="72">
        <v>1103861</v>
      </c>
      <c r="S292" s="72">
        <f t="shared" si="153"/>
        <v>0</v>
      </c>
    </row>
    <row r="293" spans="1:20">
      <c r="A293" s="9"/>
      <c r="B293" s="12"/>
      <c r="C293" s="12"/>
      <c r="D293" s="11" t="s">
        <v>7</v>
      </c>
      <c r="E293" s="97"/>
      <c r="F293" s="122" t="s">
        <v>85</v>
      </c>
      <c r="G293" s="98">
        <f>G294+G295+G296</f>
        <v>0</v>
      </c>
      <c r="H293" s="98">
        <f t="shared" ref="H293:I293" si="168">H294+H295+H296</f>
        <v>0</v>
      </c>
      <c r="I293" s="98">
        <f t="shared" si="168"/>
        <v>0</v>
      </c>
      <c r="J293" s="32">
        <f>J294+J295+J296</f>
        <v>0</v>
      </c>
      <c r="K293" s="35">
        <f>'1.02.'!M291</f>
        <v>0</v>
      </c>
      <c r="L293" s="32">
        <f t="shared" ref="L293:N293" si="169">L294+L295+L296</f>
        <v>0</v>
      </c>
      <c r="M293" s="32">
        <f t="shared" si="169"/>
        <v>0</v>
      </c>
      <c r="N293" s="32">
        <f t="shared" si="169"/>
        <v>0</v>
      </c>
      <c r="O293" s="68" t="e">
        <f>M293/I293*100</f>
        <v>#DIV/0!</v>
      </c>
      <c r="P293" s="71">
        <f t="shared" si="151"/>
        <v>0</v>
      </c>
      <c r="Q293" s="35">
        <f t="shared" si="152"/>
        <v>0</v>
      </c>
      <c r="R293" s="72">
        <v>1103862</v>
      </c>
      <c r="S293" s="72">
        <f t="shared" si="153"/>
        <v>0</v>
      </c>
      <c r="T293" s="62">
        <f>G293-J293</f>
        <v>0</v>
      </c>
    </row>
    <row r="294" spans="1:20">
      <c r="A294" s="9"/>
      <c r="B294" s="13"/>
      <c r="C294" s="13"/>
      <c r="D294" s="14"/>
      <c r="E294" s="20">
        <v>413</v>
      </c>
      <c r="F294" s="78" t="s">
        <v>152</v>
      </c>
      <c r="G294" s="34"/>
      <c r="H294" s="34"/>
      <c r="I294" s="34"/>
      <c r="J294" s="107">
        <f>M294</f>
        <v>0</v>
      </c>
      <c r="K294" s="35">
        <f>'1.02.'!M292</f>
        <v>0</v>
      </c>
      <c r="L294" s="34"/>
      <c r="M294" s="92">
        <f>K294+L294</f>
        <v>0</v>
      </c>
      <c r="N294" s="93">
        <f t="shared" ref="N294:N296" si="170">I294-M294</f>
        <v>0</v>
      </c>
      <c r="O294" s="70"/>
      <c r="P294" s="71">
        <f t="shared" si="151"/>
        <v>0</v>
      </c>
      <c r="Q294" s="35">
        <f t="shared" si="152"/>
        <v>0</v>
      </c>
      <c r="R294" s="72">
        <v>1103863</v>
      </c>
      <c r="S294" s="72">
        <f t="shared" si="153"/>
        <v>0</v>
      </c>
    </row>
    <row r="295" spans="1:20" ht="25.5">
      <c r="A295" s="9"/>
      <c r="B295" s="13"/>
      <c r="C295" s="13"/>
      <c r="D295" s="14"/>
      <c r="E295" s="20">
        <v>414</v>
      </c>
      <c r="F295" s="50" t="s">
        <v>105</v>
      </c>
      <c r="G295" s="37"/>
      <c r="H295" s="37"/>
      <c r="I295" s="37"/>
      <c r="J295" s="75">
        <f>M295</f>
        <v>0</v>
      </c>
      <c r="K295" s="35">
        <f>'1.02.'!M293</f>
        <v>0</v>
      </c>
      <c r="L295" s="37"/>
      <c r="M295" s="92">
        <f>K295+L295</f>
        <v>0</v>
      </c>
      <c r="N295" s="93">
        <f t="shared" si="170"/>
        <v>0</v>
      </c>
      <c r="O295" s="70"/>
      <c r="P295" s="71">
        <f t="shared" si="151"/>
        <v>0</v>
      </c>
      <c r="Q295" s="35">
        <f t="shared" si="152"/>
        <v>0</v>
      </c>
      <c r="R295" s="72">
        <v>1103864</v>
      </c>
      <c r="S295" s="72">
        <f t="shared" si="153"/>
        <v>0</v>
      </c>
    </row>
    <row r="296" spans="1:20" ht="25.5" hidden="1">
      <c r="A296" s="100"/>
      <c r="B296" s="15"/>
      <c r="C296" s="15"/>
      <c r="D296" s="16"/>
      <c r="E296" s="20">
        <v>421</v>
      </c>
      <c r="F296" s="3" t="s">
        <v>60</v>
      </c>
      <c r="G296" s="37"/>
      <c r="H296" s="37"/>
      <c r="I296" s="37"/>
      <c r="J296" s="75"/>
      <c r="K296" s="35"/>
      <c r="L296" s="35"/>
      <c r="M296" s="92">
        <f t="shared" ref="M296" si="171">K296+L296</f>
        <v>0</v>
      </c>
      <c r="N296" s="93">
        <f t="shared" si="170"/>
        <v>0</v>
      </c>
      <c r="O296" s="70" t="e">
        <f t="shared" ref="O296" si="172">M296/I296*100</f>
        <v>#DIV/0!</v>
      </c>
      <c r="P296" s="71">
        <f t="shared" si="151"/>
        <v>0</v>
      </c>
      <c r="Q296" s="35">
        <f t="shared" si="152"/>
        <v>0</v>
      </c>
      <c r="R296" s="72">
        <v>1103865</v>
      </c>
      <c r="S296" s="72">
        <f t="shared" si="153"/>
        <v>0</v>
      </c>
    </row>
    <row r="335" spans="6:6">
      <c r="F335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46"/>
  <sheetViews>
    <sheetView view="pageBreakPreview" zoomScaleSheetLayoutView="100" workbookViewId="0">
      <pane xSplit="6" ySplit="4" topLeftCell="G287" activePane="bottomRight" state="frozen"/>
      <selection pane="topRight" activeCell="G1" sqref="G1"/>
      <selection pane="bottomLeft" activeCell="A5" sqref="A5"/>
      <selection pane="bottomRight" activeCell="F127" sqref="F127"/>
    </sheetView>
  </sheetViews>
  <sheetFormatPr defaultRowHeight="12.75"/>
  <cols>
    <col min="1" max="1" width="4.7109375" style="6" customWidth="1"/>
    <col min="2" max="2" width="6.5703125" style="6" bestFit="1" customWidth="1"/>
    <col min="3" max="3" width="4.140625" style="6" customWidth="1"/>
    <col min="4" max="4" width="4.5703125" style="6" customWidth="1"/>
    <col min="5" max="5" width="4.85546875" style="6" customWidth="1"/>
    <col min="6" max="6" width="52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425781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158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7" t="s">
        <v>139</v>
      </c>
      <c r="I4" s="127" t="s">
        <v>140</v>
      </c>
      <c r="J4" s="144"/>
      <c r="K4" s="127" t="s">
        <v>143</v>
      </c>
      <c r="L4" s="127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 t="shared" ref="G5:N5" si="0">G6+G108+G129+G152+G178+G202+G226+G275</f>
        <v>17032809</v>
      </c>
      <c r="H5" s="40">
        <f t="shared" si="0"/>
        <v>3090595.9</v>
      </c>
      <c r="I5" s="40">
        <f t="shared" si="0"/>
        <v>2375789.6</v>
      </c>
      <c r="J5" s="24">
        <f t="shared" si="0"/>
        <v>2904870.0288800001</v>
      </c>
      <c r="K5" s="24">
        <f t="shared" si="0"/>
        <v>568624.86305000004</v>
      </c>
      <c r="L5" s="40">
        <f t="shared" si="0"/>
        <v>892895.78541999997</v>
      </c>
      <c r="M5" s="24">
        <f t="shared" si="0"/>
        <v>2358382.5666300002</v>
      </c>
      <c r="N5" s="24">
        <f t="shared" si="0"/>
        <v>17407.033370000026</v>
      </c>
      <c r="O5" s="66">
        <f>M5/I5*100</f>
        <v>99.267315869637613</v>
      </c>
      <c r="P5" s="60">
        <f t="shared" ref="P5:P8" si="1">J5-M5</f>
        <v>546487.46224999987</v>
      </c>
      <c r="Q5" s="29">
        <f t="shared" ref="Q5:Q8" si="2">H5-J5</f>
        <v>185725.87111999979</v>
      </c>
      <c r="R5" s="74">
        <v>1103576</v>
      </c>
      <c r="S5" s="74">
        <f t="shared" ref="S5:S8" si="3">G5-M5</f>
        <v>14674426.43337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G7+G13+G34+G38+G41+G44+G101+G105</f>
        <v>5070963</v>
      </c>
      <c r="H6" s="42">
        <f>H7+H13+H34+H38+H41+H44+H101+H105</f>
        <v>909586.7</v>
      </c>
      <c r="I6" s="42">
        <f>I7+I13+I34+I38+I41+I44+I101+I105</f>
        <v>821716.3</v>
      </c>
      <c r="J6" s="29">
        <f>J7+J13+J34+J38+J41+J44+J101+J105</f>
        <v>832222.35490999999</v>
      </c>
      <c r="K6" s="29">
        <f>'1.02.'!M6</f>
        <v>305263.96490999998</v>
      </c>
      <c r="L6" s="42">
        <f>L7+L13+L34+L38+L41+L44+L101+L105</f>
        <v>282402.26246</v>
      </c>
      <c r="M6" s="29">
        <f>M7+M13+M34+M38+M41+M44+M101+M105</f>
        <v>812826.97230999998</v>
      </c>
      <c r="N6" s="29">
        <f>N7+N13+N34+N38+N41+N44+N101+N105</f>
        <v>8889.3276900000001</v>
      </c>
      <c r="O6" s="66">
        <f t="shared" ref="O6:O69" si="4">M6/I6*100</f>
        <v>98.918199907924418</v>
      </c>
      <c r="P6" s="60">
        <f t="shared" si="1"/>
        <v>19395.382600000012</v>
      </c>
      <c r="Q6" s="29">
        <f t="shared" si="2"/>
        <v>77364.345089999959</v>
      </c>
      <c r="R6" s="74">
        <v>1103577</v>
      </c>
      <c r="S6" s="74">
        <f t="shared" si="3"/>
        <v>4258136.0276899999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336745</v>
      </c>
      <c r="I7" s="42">
        <f t="shared" si="5"/>
        <v>336190</v>
      </c>
      <c r="J7" s="29">
        <f t="shared" si="5"/>
        <v>335864.40620999999</v>
      </c>
      <c r="K7" s="29">
        <f>'1.02.'!M7</f>
        <v>164988.70772999999</v>
      </c>
      <c r="L7" s="42">
        <f t="shared" si="5"/>
        <v>61300.636460000002</v>
      </c>
      <c r="M7" s="29">
        <f t="shared" si="5"/>
        <v>335864.40620999999</v>
      </c>
      <c r="N7" s="29">
        <f t="shared" si="5"/>
        <v>325.59378999999899</v>
      </c>
      <c r="O7" s="68">
        <f t="shared" si="4"/>
        <v>99.903151851631506</v>
      </c>
      <c r="P7" s="60">
        <f t="shared" si="1"/>
        <v>0</v>
      </c>
      <c r="Q7" s="29">
        <f t="shared" si="2"/>
        <v>880.59379000001354</v>
      </c>
      <c r="R7" s="74">
        <v>1103578</v>
      </c>
      <c r="S7" s="74">
        <f t="shared" si="3"/>
        <v>1714390.5937900001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310000</v>
      </c>
      <c r="I8" s="59">
        <f t="shared" si="6"/>
        <v>310000</v>
      </c>
      <c r="J8" s="33">
        <f>J9</f>
        <v>310000</v>
      </c>
      <c r="K8" s="29">
        <f>'1.02.'!M8</f>
        <v>150000</v>
      </c>
      <c r="L8" s="29">
        <f t="shared" si="6"/>
        <v>60000</v>
      </c>
      <c r="M8" s="60">
        <f t="shared" si="6"/>
        <v>310000</v>
      </c>
      <c r="N8" s="29">
        <f t="shared" si="6"/>
        <v>0</v>
      </c>
      <c r="O8" s="68">
        <f t="shared" si="4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1704974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310000</v>
      </c>
      <c r="I9" s="37">
        <v>310000</v>
      </c>
      <c r="J9" s="75">
        <f>M9</f>
        <v>310000</v>
      </c>
      <c r="K9" s="35">
        <f>'1.03.'!M9</f>
        <v>250000</v>
      </c>
      <c r="L9" s="35">
        <v>60000</v>
      </c>
      <c r="M9" s="35">
        <f>K9+L9</f>
        <v>310000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1704974</v>
      </c>
      <c r="T9" s="62">
        <f>G9-J9</f>
        <v>1704974</v>
      </c>
    </row>
    <row r="10" spans="1:20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26745</v>
      </c>
      <c r="I10" s="59">
        <f t="shared" si="7"/>
        <v>26190</v>
      </c>
      <c r="J10" s="33">
        <f>J11+J12</f>
        <v>25864.406210000001</v>
      </c>
      <c r="K10" s="29">
        <f>'1.02.'!M10</f>
        <v>14988.70773</v>
      </c>
      <c r="L10" s="29">
        <f t="shared" si="7"/>
        <v>1300.6364599999999</v>
      </c>
      <c r="M10" s="29">
        <f t="shared" si="7"/>
        <v>25864.406210000001</v>
      </c>
      <c r="N10" s="29">
        <f t="shared" si="7"/>
        <v>325.59378999999899</v>
      </c>
      <c r="O10" s="68">
        <f t="shared" si="4"/>
        <v>98.756801107292873</v>
      </c>
      <c r="P10" s="60">
        <f t="shared" ref="P10:P73" si="8">J10-M10</f>
        <v>0</v>
      </c>
      <c r="Q10" s="29">
        <f t="shared" ref="Q10:Q73" si="9">H10-J10</f>
        <v>880.59378999999899</v>
      </c>
      <c r="R10" s="74">
        <v>1103581</v>
      </c>
      <c r="S10" s="74">
        <f t="shared" ref="S10:S73" si="10">G10-M10</f>
        <v>9416.593789999999</v>
      </c>
      <c r="T10" s="62">
        <f t="shared" ref="T10:T44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'1.03.'!M11</f>
        <v>0</v>
      </c>
      <c r="L11" s="35">
        <v>1190</v>
      </c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25000</v>
      </c>
      <c r="I12" s="37">
        <v>25000</v>
      </c>
      <c r="J12" s="75">
        <f>M12</f>
        <v>24674.406210000001</v>
      </c>
      <c r="K12" s="35">
        <f>'1.03.'!M12</f>
        <v>24563.769749999999</v>
      </c>
      <c r="L12" s="35">
        <v>110.63646</v>
      </c>
      <c r="M12" s="35">
        <f>K12+L12</f>
        <v>24674.406210000001</v>
      </c>
      <c r="N12" s="35">
        <f>I12-M12</f>
        <v>325.59378999999899</v>
      </c>
      <c r="O12" s="70">
        <f t="shared" si="4"/>
        <v>98.697624840000003</v>
      </c>
      <c r="P12" s="71">
        <f t="shared" si="8"/>
        <v>0</v>
      </c>
      <c r="Q12" s="35">
        <f t="shared" si="9"/>
        <v>325.59378999999899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51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260651</v>
      </c>
      <c r="H13" s="33">
        <f t="shared" si="12"/>
        <v>80491</v>
      </c>
      <c r="I13" s="33">
        <f t="shared" si="12"/>
        <v>74276.900000000009</v>
      </c>
      <c r="J13" s="29">
        <f t="shared" si="12"/>
        <v>79701.948699999994</v>
      </c>
      <c r="K13" s="29">
        <f>'1.02.'!M13</f>
        <v>15275.257180000001</v>
      </c>
      <c r="L13" s="29">
        <f t="shared" si="12"/>
        <v>20850.827939999999</v>
      </c>
      <c r="M13" s="29">
        <f t="shared" si="12"/>
        <v>71412.38820999999</v>
      </c>
      <c r="N13" s="29">
        <f t="shared" si="12"/>
        <v>2864.5117900000018</v>
      </c>
      <c r="O13" s="68">
        <f t="shared" si="4"/>
        <v>96.143468844284001</v>
      </c>
      <c r="P13" s="71">
        <f t="shared" si="8"/>
        <v>8289.5604900000035</v>
      </c>
      <c r="Q13" s="35">
        <f t="shared" si="9"/>
        <v>789.05130000000645</v>
      </c>
      <c r="R13" s="72">
        <v>1103584</v>
      </c>
      <c r="S13" s="72">
        <f t="shared" si="10"/>
        <v>189238.61179</v>
      </c>
      <c r="T13" s="62">
        <f t="shared" si="11"/>
        <v>180949.05129999999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SUM(G15:G33)</f>
        <v>260651</v>
      </c>
      <c r="H14" s="59">
        <f t="shared" ref="H14:J14" si="13">SUM(H15:H33)</f>
        <v>80491</v>
      </c>
      <c r="I14" s="59">
        <f t="shared" si="13"/>
        <v>74276.900000000009</v>
      </c>
      <c r="J14" s="29">
        <f t="shared" si="13"/>
        <v>79701.948699999994</v>
      </c>
      <c r="K14" s="29">
        <f>'1.02.'!M14</f>
        <v>15275.257180000001</v>
      </c>
      <c r="L14" s="29">
        <f>SUM(L15:L33)</f>
        <v>20850.827939999999</v>
      </c>
      <c r="M14" s="29">
        <f t="shared" ref="M14:N14" si="14">SUM(M15:M33)</f>
        <v>71412.38820999999</v>
      </c>
      <c r="N14" s="29">
        <f t="shared" si="14"/>
        <v>2864.5117900000018</v>
      </c>
      <c r="O14" s="68">
        <f t="shared" si="4"/>
        <v>96.143468844284001</v>
      </c>
      <c r="P14" s="35">
        <f t="shared" si="8"/>
        <v>8289.5604900000035</v>
      </c>
      <c r="Q14" s="35">
        <f t="shared" si="9"/>
        <v>789.05130000000645</v>
      </c>
      <c r="R14" s="72">
        <v>1103585</v>
      </c>
      <c r="S14" s="72">
        <f t="shared" si="10"/>
        <v>189238.61179</v>
      </c>
      <c r="T14" s="62">
        <f>G14-J14</f>
        <v>180949.05129999999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v>121539</v>
      </c>
      <c r="H15" s="26">
        <v>30000</v>
      </c>
      <c r="I15" s="26">
        <v>30000</v>
      </c>
      <c r="J15" s="75">
        <f t="shared" ref="J15:J33" si="15">M15</f>
        <v>30000</v>
      </c>
      <c r="K15" s="35">
        <f>'1.03.'!M15</f>
        <v>19989.048999999999</v>
      </c>
      <c r="L15" s="27">
        <v>10010.950999999999</v>
      </c>
      <c r="M15" s="71">
        <f>K15+L15</f>
        <v>30000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91539</v>
      </c>
      <c r="T15" s="62">
        <f t="shared" si="11"/>
        <v>91539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v>17318</v>
      </c>
      <c r="H16" s="26">
        <v>15907.6</v>
      </c>
      <c r="I16" s="26">
        <v>15907.6</v>
      </c>
      <c r="J16" s="75">
        <f t="shared" si="15"/>
        <v>15907.550999999999</v>
      </c>
      <c r="K16" s="35">
        <f>'1.03.'!M16</f>
        <v>14418.852999999999</v>
      </c>
      <c r="L16" s="27">
        <v>1488.6980000000001</v>
      </c>
      <c r="M16" s="71">
        <f t="shared" ref="M16:M33" si="16">K16+L16</f>
        <v>15907.550999999999</v>
      </c>
      <c r="N16" s="35">
        <f t="shared" ref="N16:N33" si="17">I16-M16</f>
        <v>4.9000000000887667E-2</v>
      </c>
      <c r="O16" s="70">
        <f t="shared" si="4"/>
        <v>99.999691971133288</v>
      </c>
      <c r="P16" s="71">
        <f t="shared" si="8"/>
        <v>0</v>
      </c>
      <c r="Q16" s="35">
        <f t="shared" si="9"/>
        <v>4.9000000000887667E-2</v>
      </c>
      <c r="R16" s="72">
        <v>1103587</v>
      </c>
      <c r="S16" s="72">
        <f t="shared" si="10"/>
        <v>1410.4490000000005</v>
      </c>
      <c r="T16" s="62">
        <f t="shared" si="11"/>
        <v>1410.4490000000005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6101.2</v>
      </c>
      <c r="I17" s="26">
        <v>6101.2</v>
      </c>
      <c r="J17" s="75">
        <f t="shared" si="15"/>
        <v>6101.1139999999996</v>
      </c>
      <c r="K17" s="35">
        <f>'1.03.'!M17</f>
        <v>3401.172</v>
      </c>
      <c r="L17" s="27">
        <v>2699.942</v>
      </c>
      <c r="M17" s="71">
        <f t="shared" si="16"/>
        <v>6101.1139999999996</v>
      </c>
      <c r="N17" s="35">
        <f t="shared" si="17"/>
        <v>8.6000000000240107E-2</v>
      </c>
      <c r="O17" s="70">
        <f t="shared" si="4"/>
        <v>99.998590441224678</v>
      </c>
      <c r="P17" s="71">
        <f t="shared" si="8"/>
        <v>0</v>
      </c>
      <c r="Q17" s="35">
        <f t="shared" si="9"/>
        <v>8.6000000000240107E-2</v>
      </c>
      <c r="R17" s="72">
        <v>1103588</v>
      </c>
      <c r="S17" s="72">
        <f t="shared" si="10"/>
        <v>14154.886</v>
      </c>
      <c r="T17" s="62">
        <f t="shared" si="11"/>
        <v>14154.886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v>4860</v>
      </c>
      <c r="H18" s="26">
        <v>1355</v>
      </c>
      <c r="I18" s="26">
        <v>1355</v>
      </c>
      <c r="J18" s="75">
        <f t="shared" si="15"/>
        <v>1230.6979999999999</v>
      </c>
      <c r="K18" s="35">
        <f>'1.03.'!M18</f>
        <v>982.16799999999989</v>
      </c>
      <c r="L18" s="27">
        <v>248.53</v>
      </c>
      <c r="M18" s="71">
        <f>K18+L18</f>
        <v>1230.6979999999999</v>
      </c>
      <c r="N18" s="35">
        <f>I18-M18</f>
        <v>124.30200000000013</v>
      </c>
      <c r="O18" s="70">
        <f>M18/I18*100</f>
        <v>90.826420664206637</v>
      </c>
      <c r="P18" s="71">
        <f t="shared" si="8"/>
        <v>0</v>
      </c>
      <c r="Q18" s="35">
        <f t="shared" si="9"/>
        <v>124.30200000000013</v>
      </c>
      <c r="R18" s="72">
        <v>1103589</v>
      </c>
      <c r="S18" s="72">
        <f t="shared" si="10"/>
        <v>3629.3020000000001</v>
      </c>
      <c r="T18" s="62">
        <f t="shared" si="11"/>
        <v>3629.3020000000001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2736</v>
      </c>
      <c r="I19" s="26">
        <v>2736</v>
      </c>
      <c r="J19" s="75">
        <f t="shared" si="15"/>
        <v>2736</v>
      </c>
      <c r="K19" s="35">
        <f>'1.03.'!M19</f>
        <v>2095</v>
      </c>
      <c r="L19" s="27">
        <v>641</v>
      </c>
      <c r="M19" s="71">
        <f t="shared" si="16"/>
        <v>2736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5595</v>
      </c>
      <c r="T19" s="62">
        <f t="shared" si="11"/>
        <v>5595</v>
      </c>
    </row>
    <row r="20" spans="1:20" s="73" customFormat="1" ht="25.5">
      <c r="A20" s="9"/>
      <c r="B20" s="9"/>
      <c r="C20" s="9"/>
      <c r="D20" s="69"/>
      <c r="E20" s="69">
        <v>122</v>
      </c>
      <c r="F20" s="136" t="s">
        <v>91</v>
      </c>
      <c r="G20" s="26">
        <v>6943</v>
      </c>
      <c r="H20" s="26">
        <v>1903</v>
      </c>
      <c r="I20" s="26">
        <v>1903</v>
      </c>
      <c r="J20" s="75">
        <f t="shared" si="15"/>
        <v>1664.9369999999999</v>
      </c>
      <c r="K20" s="35">
        <f>'1.03.'!M20</f>
        <v>1253.953</v>
      </c>
      <c r="L20" s="27">
        <v>410.98399999999998</v>
      </c>
      <c r="M20" s="71">
        <f t="shared" si="16"/>
        <v>1664.9369999999999</v>
      </c>
      <c r="N20" s="35">
        <f t="shared" si="17"/>
        <v>238.0630000000001</v>
      </c>
      <c r="O20" s="70">
        <f t="shared" si="4"/>
        <v>87.490120861797166</v>
      </c>
      <c r="P20" s="71">
        <f t="shared" si="8"/>
        <v>0</v>
      </c>
      <c r="Q20" s="35">
        <f t="shared" si="9"/>
        <v>238.0630000000001</v>
      </c>
      <c r="R20" s="72">
        <v>1103591</v>
      </c>
      <c r="S20" s="72">
        <f t="shared" si="10"/>
        <v>5278.0630000000001</v>
      </c>
      <c r="T20" s="62">
        <f t="shared" si="11"/>
        <v>5278.0630000000001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5"/>
        <v>0</v>
      </c>
      <c r="K21" s="35">
        <f>'1.03.'!M21</f>
        <v>0</v>
      </c>
      <c r="L21" s="27"/>
      <c r="M21" s="71">
        <f t="shared" si="16"/>
        <v>0</v>
      </c>
      <c r="N21" s="35">
        <f t="shared" si="17"/>
        <v>0</v>
      </c>
      <c r="O21" s="70" t="e">
        <f t="shared" si="4"/>
        <v>#DIV/0!</v>
      </c>
      <c r="P21" s="71">
        <f t="shared" si="8"/>
        <v>0</v>
      </c>
      <c r="Q21" s="35">
        <f t="shared" si="9"/>
        <v>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v>4166</v>
      </c>
      <c r="H22" s="26">
        <v>1370</v>
      </c>
      <c r="I22" s="26">
        <v>1370</v>
      </c>
      <c r="J22" s="75">
        <f t="shared" si="15"/>
        <v>1083.6369999999999</v>
      </c>
      <c r="K22" s="35">
        <f>'1.03.'!M22</f>
        <v>866.25399999999991</v>
      </c>
      <c r="L22" s="27">
        <v>217.38300000000001</v>
      </c>
      <c r="M22" s="71">
        <f t="shared" si="16"/>
        <v>1083.6369999999999</v>
      </c>
      <c r="N22" s="35">
        <f t="shared" si="17"/>
        <v>286.36300000000006</v>
      </c>
      <c r="O22" s="70">
        <f t="shared" si="4"/>
        <v>79.097591240875914</v>
      </c>
      <c r="P22" s="71">
        <f t="shared" si="8"/>
        <v>0</v>
      </c>
      <c r="Q22" s="35">
        <f t="shared" si="9"/>
        <v>286.36300000000006</v>
      </c>
      <c r="R22" s="72">
        <v>1103593</v>
      </c>
      <c r="S22" s="72">
        <f t="shared" si="10"/>
        <v>3082.3630000000003</v>
      </c>
      <c r="T22" s="62">
        <f t="shared" si="11"/>
        <v>3082.3630000000003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3600</v>
      </c>
      <c r="I23" s="26">
        <v>3600</v>
      </c>
      <c r="J23" s="75">
        <f t="shared" si="15"/>
        <v>3600</v>
      </c>
      <c r="K23" s="35">
        <f>'1.03.'!M23</f>
        <v>2400</v>
      </c>
      <c r="L23" s="27">
        <v>1200</v>
      </c>
      <c r="M23" s="71">
        <f t="shared" si="16"/>
        <v>3600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15733</v>
      </c>
      <c r="T23" s="62">
        <f t="shared" si="11"/>
        <v>15733</v>
      </c>
    </row>
    <row r="24" spans="1:20" s="73" customFormat="1" ht="25.5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405</v>
      </c>
      <c r="I24" s="26">
        <v>405</v>
      </c>
      <c r="J24" s="75">
        <f t="shared" si="15"/>
        <v>405</v>
      </c>
      <c r="K24" s="35">
        <f>'1.03.'!M24</f>
        <v>270</v>
      </c>
      <c r="L24" s="27">
        <v>135</v>
      </c>
      <c r="M24" s="71">
        <f t="shared" si="16"/>
        <v>405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2724</v>
      </c>
      <c r="T24" s="62">
        <f t="shared" si="11"/>
        <v>2724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'1.03.'!M25</f>
        <v>0</v>
      </c>
      <c r="L25" s="27"/>
      <c r="M25" s="71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'1.03.'!M26</f>
        <v>0</v>
      </c>
      <c r="L26" s="27"/>
      <c r="M26" s="71">
        <f t="shared" si="16"/>
        <v>0</v>
      </c>
      <c r="N26" s="35">
        <f t="shared" si="17"/>
        <v>2075</v>
      </c>
      <c r="O26" s="70">
        <f t="shared" si="4"/>
        <v>0</v>
      </c>
      <c r="P26" s="71">
        <f t="shared" si="8"/>
        <v>2074.99856</v>
      </c>
      <c r="Q26" s="35">
        <f t="shared" si="9"/>
        <v>1.4400000000023283E-3</v>
      </c>
      <c r="R26" s="72">
        <v>1103597</v>
      </c>
      <c r="S26" s="72">
        <f t="shared" si="10"/>
        <v>2075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33.700000000000003</v>
      </c>
      <c r="I27" s="26">
        <v>33.700000000000003</v>
      </c>
      <c r="J27" s="75">
        <f t="shared" si="15"/>
        <v>33.695999999999998</v>
      </c>
      <c r="K27" s="35">
        <f>'1.03.'!M27</f>
        <v>0</v>
      </c>
      <c r="L27" s="27">
        <v>33.695999999999998</v>
      </c>
      <c r="M27" s="35">
        <f t="shared" si="16"/>
        <v>33.695999999999998</v>
      </c>
      <c r="N27" s="35">
        <f t="shared" si="17"/>
        <v>4.0000000000048885E-3</v>
      </c>
      <c r="O27" s="70">
        <f t="shared" si="4"/>
        <v>99.988130563798208</v>
      </c>
      <c r="P27" s="71">
        <f t="shared" si="8"/>
        <v>0</v>
      </c>
      <c r="Q27" s="35">
        <f t="shared" si="9"/>
        <v>4.0000000000048885E-3</v>
      </c>
      <c r="R27" s="72">
        <v>1103598</v>
      </c>
      <c r="S27" s="72">
        <f t="shared" si="10"/>
        <v>4136.3040000000001</v>
      </c>
      <c r="T27" s="62">
        <f t="shared" si="11"/>
        <v>4136.3040000000001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4167</v>
      </c>
      <c r="I28" s="26">
        <v>4167</v>
      </c>
      <c r="J28" s="75">
        <f t="shared" si="15"/>
        <v>4166.8387899999998</v>
      </c>
      <c r="K28" s="35">
        <f>'1.03.'!M28</f>
        <v>2575.3452699999998</v>
      </c>
      <c r="L28" s="27">
        <v>1591.49352</v>
      </c>
      <c r="M28" s="35">
        <f t="shared" si="16"/>
        <v>4166.8387899999998</v>
      </c>
      <c r="N28" s="35">
        <f t="shared" si="17"/>
        <v>0.16121000000021013</v>
      </c>
      <c r="O28" s="70">
        <f t="shared" si="4"/>
        <v>99.996131269498434</v>
      </c>
      <c r="P28" s="71">
        <f t="shared" si="8"/>
        <v>0</v>
      </c>
      <c r="Q28" s="35">
        <f t="shared" si="9"/>
        <v>0.16121000000021013</v>
      </c>
      <c r="R28" s="72">
        <v>1103599</v>
      </c>
      <c r="S28" s="72">
        <f t="shared" si="10"/>
        <v>6566.1612100000002</v>
      </c>
      <c r="T28" s="62">
        <f t="shared" si="11"/>
        <v>6566.1612100000002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>
        <v>5416.5</v>
      </c>
      <c r="I29" s="26">
        <v>774.1</v>
      </c>
      <c r="J29" s="75">
        <v>5416.4143599999998</v>
      </c>
      <c r="K29" s="35">
        <f>'1.03.'!M29</f>
        <v>338.1</v>
      </c>
      <c r="L29" s="27">
        <v>435.98286999999999</v>
      </c>
      <c r="M29" s="71">
        <f t="shared" si="16"/>
        <v>774.08286999999996</v>
      </c>
      <c r="N29" s="35">
        <f t="shared" si="17"/>
        <v>1.7130000000065593E-2</v>
      </c>
      <c r="O29" s="70">
        <f t="shared" si="4"/>
        <v>99.997787107608829</v>
      </c>
      <c r="P29" s="71">
        <f t="shared" si="8"/>
        <v>4642.3314899999996</v>
      </c>
      <c r="Q29" s="35">
        <f t="shared" si="9"/>
        <v>8.5640000000239525E-2</v>
      </c>
      <c r="R29" s="72">
        <v>1103600</v>
      </c>
      <c r="S29" s="72">
        <f t="shared" si="10"/>
        <v>6527.9171299999998</v>
      </c>
      <c r="T29" s="62">
        <f t="shared" si="11"/>
        <v>1885.5856400000002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183</v>
      </c>
      <c r="J30" s="75">
        <v>730</v>
      </c>
      <c r="K30" s="35">
        <f>'1.03.'!M30</f>
        <v>121.666</v>
      </c>
      <c r="L30" s="27">
        <v>60.832999999999998</v>
      </c>
      <c r="M30" s="71">
        <f t="shared" si="16"/>
        <v>182.499</v>
      </c>
      <c r="N30" s="35">
        <f t="shared" si="17"/>
        <v>0.50100000000000477</v>
      </c>
      <c r="O30" s="70">
        <f t="shared" si="4"/>
        <v>99.726229508196724</v>
      </c>
      <c r="P30" s="71">
        <f t="shared" si="8"/>
        <v>547.50099999999998</v>
      </c>
      <c r="Q30" s="35">
        <f t="shared" si="9"/>
        <v>0</v>
      </c>
      <c r="R30" s="72">
        <v>1103601</v>
      </c>
      <c r="S30" s="72">
        <f t="shared" si="10"/>
        <v>547.50099999999998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</f>
        <v>3099</v>
      </c>
      <c r="H31" s="26">
        <v>2291</v>
      </c>
      <c r="I31" s="26">
        <v>1266.3</v>
      </c>
      <c r="J31" s="35">
        <v>2290.9999899999998</v>
      </c>
      <c r="K31" s="35">
        <f>'1.03.'!M31</f>
        <v>450</v>
      </c>
      <c r="L31" s="27">
        <v>816.27054999999996</v>
      </c>
      <c r="M31" s="71">
        <f t="shared" si="16"/>
        <v>1266.27055</v>
      </c>
      <c r="N31" s="35">
        <f t="shared" si="17"/>
        <v>2.944999999999709E-2</v>
      </c>
      <c r="O31" s="70">
        <f t="shared" si="4"/>
        <v>99.997674326778807</v>
      </c>
      <c r="P31" s="71">
        <f t="shared" si="8"/>
        <v>1024.7294399999998</v>
      </c>
      <c r="Q31" s="35">
        <f t="shared" si="9"/>
        <v>1.0000000202126103E-5</v>
      </c>
      <c r="R31" s="72">
        <v>1103602</v>
      </c>
      <c r="S31" s="72">
        <f t="shared" si="10"/>
        <v>1832.72945</v>
      </c>
      <c r="T31" s="62">
        <f t="shared" si="11"/>
        <v>808.0000100000002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</f>
        <v>26604</v>
      </c>
      <c r="H32" s="26">
        <v>2400</v>
      </c>
      <c r="I32" s="26">
        <v>2400</v>
      </c>
      <c r="J32" s="75">
        <f t="shared" si="15"/>
        <v>2260.0639999999999</v>
      </c>
      <c r="K32" s="35">
        <f>'1.03.'!M32</f>
        <v>1400</v>
      </c>
      <c r="L32" s="27">
        <v>860.06399999999996</v>
      </c>
      <c r="M32" s="71">
        <f t="shared" si="16"/>
        <v>2260.0639999999999</v>
      </c>
      <c r="N32" s="35">
        <f t="shared" si="17"/>
        <v>139.93600000000015</v>
      </c>
      <c r="O32" s="70">
        <f t="shared" si="4"/>
        <v>94.169333333333327</v>
      </c>
      <c r="P32" s="71">
        <f t="shared" si="8"/>
        <v>0</v>
      </c>
      <c r="Q32" s="35">
        <f t="shared" si="9"/>
        <v>139.93600000000015</v>
      </c>
      <c r="R32" s="72">
        <v>1103603</v>
      </c>
      <c r="S32" s="72">
        <f t="shared" si="10"/>
        <v>24343.936000000002</v>
      </c>
      <c r="T32" s="62">
        <f t="shared" si="11"/>
        <v>24343.936000000002</v>
      </c>
    </row>
    <row r="33" spans="1:20" s="73" customFormat="1">
      <c r="A33" s="9"/>
      <c r="B33" s="9"/>
      <c r="C33" s="9"/>
      <c r="D33" s="69"/>
      <c r="E33" s="69">
        <v>169</v>
      </c>
      <c r="F33" s="136" t="s">
        <v>103</v>
      </c>
      <c r="G33" s="26"/>
      <c r="H33" s="26"/>
      <c r="I33" s="26"/>
      <c r="J33" s="75">
        <f t="shared" si="15"/>
        <v>0</v>
      </c>
      <c r="K33" s="35">
        <f>'1.03.'!M33</f>
        <v>0</v>
      </c>
      <c r="L33" s="27"/>
      <c r="M33" s="71">
        <f t="shared" si="16"/>
        <v>0</v>
      </c>
      <c r="N33" s="35">
        <f t="shared" si="17"/>
        <v>0</v>
      </c>
      <c r="O33" s="70" t="e">
        <f t="shared" si="4"/>
        <v>#DIV/0!</v>
      </c>
      <c r="P33" s="71">
        <f t="shared" si="8"/>
        <v>0</v>
      </c>
      <c r="Q33" s="35">
        <f t="shared" si="9"/>
        <v>0</v>
      </c>
      <c r="R33" s="72">
        <v>1103604</v>
      </c>
      <c r="S33" s="72">
        <f t="shared" si="10"/>
        <v>0</v>
      </c>
      <c r="T33" s="62">
        <f t="shared" si="11"/>
        <v>0</v>
      </c>
    </row>
    <row r="34" spans="1:20" hidden="1">
      <c r="A34" s="9"/>
      <c r="B34" s="9"/>
      <c r="C34" s="8" t="s">
        <v>16</v>
      </c>
      <c r="D34" s="69"/>
      <c r="E34" s="69"/>
      <c r="F34" s="77" t="s">
        <v>18</v>
      </c>
      <c r="G34" s="23">
        <f>G35+G36+G37</f>
        <v>0</v>
      </c>
      <c r="H34" s="23">
        <f t="shared" ref="H34:M34" si="18">H35+H36+H37</f>
        <v>0</v>
      </c>
      <c r="I34" s="23">
        <f t="shared" si="18"/>
        <v>0</v>
      </c>
      <c r="J34" s="23">
        <f t="shared" si="18"/>
        <v>0</v>
      </c>
      <c r="K34" s="35">
        <f>'1.02.'!M34</f>
        <v>0</v>
      </c>
      <c r="L34" s="24">
        <f t="shared" si="18"/>
        <v>0</v>
      </c>
      <c r="M34" s="38">
        <f t="shared" si="18"/>
        <v>0</v>
      </c>
      <c r="N34" s="24">
        <f>N35+N36+N37</f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1103605</v>
      </c>
      <c r="S34" s="72">
        <f t="shared" si="10"/>
        <v>0</v>
      </c>
      <c r="T34" s="62">
        <f t="shared" si="11"/>
        <v>0</v>
      </c>
    </row>
    <row r="35" spans="1:20" hidden="1">
      <c r="A35" s="9"/>
      <c r="B35" s="9"/>
      <c r="C35" s="8"/>
      <c r="D35" s="69"/>
      <c r="E35" s="69">
        <v>413</v>
      </c>
      <c r="F35" s="78" t="s">
        <v>17</v>
      </c>
      <c r="G35" s="26"/>
      <c r="H35" s="26"/>
      <c r="I35" s="26"/>
      <c r="J35" s="105"/>
      <c r="K35" s="35">
        <f>'1.02.'!M35</f>
        <v>0</v>
      </c>
      <c r="L35" s="27"/>
      <c r="M35" s="71">
        <f t="shared" ref="M35:M37" si="19">K35+L35</f>
        <v>0</v>
      </c>
      <c r="N35" s="27"/>
      <c r="O35" s="70" t="e">
        <f t="shared" si="4"/>
        <v>#DIV/0!</v>
      </c>
      <c r="P35" s="71">
        <f t="shared" si="8"/>
        <v>0</v>
      </c>
      <c r="Q35" s="35">
        <f t="shared" si="9"/>
        <v>0</v>
      </c>
      <c r="R35" s="72">
        <v>1103606</v>
      </c>
      <c r="S35" s="72">
        <f t="shared" si="10"/>
        <v>0</v>
      </c>
      <c r="T35" s="62">
        <f t="shared" si="11"/>
        <v>0</v>
      </c>
    </row>
    <row r="36" spans="1:20" ht="25.5" hidden="1">
      <c r="A36" s="9"/>
      <c r="B36" s="9"/>
      <c r="C36" s="9"/>
      <c r="D36" s="69"/>
      <c r="E36" s="69">
        <v>414</v>
      </c>
      <c r="F36" s="86" t="s">
        <v>64</v>
      </c>
      <c r="G36" s="26"/>
      <c r="H36" s="26"/>
      <c r="I36" s="26"/>
      <c r="J36" s="105">
        <f>M36</f>
        <v>0</v>
      </c>
      <c r="K36" s="35">
        <f>'1.02.'!M36</f>
        <v>0</v>
      </c>
      <c r="L36" s="27"/>
      <c r="M36" s="71">
        <f t="shared" si="19"/>
        <v>0</v>
      </c>
      <c r="N36" s="35">
        <f t="shared" ref="N36:N37" si="20">I36-M36</f>
        <v>0</v>
      </c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1103607</v>
      </c>
      <c r="S36" s="72">
        <f t="shared" si="10"/>
        <v>0</v>
      </c>
      <c r="T36" s="62">
        <f t="shared" si="11"/>
        <v>0</v>
      </c>
    </row>
    <row r="37" spans="1:20" hidden="1">
      <c r="A37" s="9"/>
      <c r="B37" s="9"/>
      <c r="C37" s="9"/>
      <c r="D37" s="69"/>
      <c r="E37" s="69">
        <v>419</v>
      </c>
      <c r="F37" s="86" t="s">
        <v>57</v>
      </c>
      <c r="G37" s="26"/>
      <c r="H37" s="26"/>
      <c r="I37" s="26"/>
      <c r="J37" s="105">
        <f>M37</f>
        <v>0</v>
      </c>
      <c r="K37" s="35">
        <f>'1.02.'!M37</f>
        <v>0</v>
      </c>
      <c r="L37" s="27"/>
      <c r="M37" s="71">
        <f t="shared" si="19"/>
        <v>0</v>
      </c>
      <c r="N37" s="35">
        <f t="shared" si="20"/>
        <v>0</v>
      </c>
      <c r="O37" s="70" t="e">
        <f t="shared" si="4"/>
        <v>#DIV/0!</v>
      </c>
      <c r="P37" s="71">
        <f t="shared" si="8"/>
        <v>0</v>
      </c>
      <c r="Q37" s="35">
        <f t="shared" si="9"/>
        <v>0</v>
      </c>
      <c r="R37" s="72">
        <v>1103608</v>
      </c>
      <c r="S37" s="72">
        <f t="shared" si="10"/>
        <v>0</v>
      </c>
    </row>
    <row r="38" spans="1:20" ht="25.5">
      <c r="A38" s="9"/>
      <c r="B38" s="9"/>
      <c r="C38" s="8" t="s">
        <v>15</v>
      </c>
      <c r="D38" s="21"/>
      <c r="E38" s="21"/>
      <c r="F38" s="120" t="s">
        <v>106</v>
      </c>
      <c r="G38" s="59">
        <f t="shared" ref="G38:N38" si="21">G39</f>
        <v>10400</v>
      </c>
      <c r="H38" s="59">
        <f t="shared" si="21"/>
        <v>0</v>
      </c>
      <c r="I38" s="59">
        <f>I39</f>
        <v>0</v>
      </c>
      <c r="J38" s="33">
        <f t="shared" si="21"/>
        <v>0</v>
      </c>
      <c r="K38" s="35">
        <f>'1.02.'!M38</f>
        <v>0</v>
      </c>
      <c r="L38" s="29">
        <f t="shared" si="21"/>
        <v>0</v>
      </c>
      <c r="M38" s="29">
        <f t="shared" si="21"/>
        <v>0</v>
      </c>
      <c r="N38" s="29">
        <f t="shared" si="21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1103609</v>
      </c>
      <c r="S38" s="72">
        <f t="shared" si="10"/>
        <v>10400</v>
      </c>
      <c r="T38" s="62">
        <f t="shared" si="11"/>
        <v>10400</v>
      </c>
    </row>
    <row r="39" spans="1:20">
      <c r="A39" s="9"/>
      <c r="B39" s="9"/>
      <c r="C39" s="8"/>
      <c r="D39" s="54" t="s">
        <v>35</v>
      </c>
      <c r="E39" s="69"/>
      <c r="F39" s="122"/>
      <c r="G39" s="37">
        <f>G40</f>
        <v>10400</v>
      </c>
      <c r="H39" s="37">
        <f>H40</f>
        <v>0</v>
      </c>
      <c r="I39" s="37">
        <f>I40</f>
        <v>0</v>
      </c>
      <c r="J39" s="75">
        <f>J40</f>
        <v>0</v>
      </c>
      <c r="K39" s="35">
        <f>'1.02.'!M39</f>
        <v>0</v>
      </c>
      <c r="L39" s="35"/>
      <c r="M39" s="71">
        <f>M40</f>
        <v>0</v>
      </c>
      <c r="N39" s="35">
        <f>N40</f>
        <v>0</v>
      </c>
      <c r="O39" s="70" t="e">
        <f t="shared" si="4"/>
        <v>#DIV/0!</v>
      </c>
      <c r="P39" s="71">
        <f t="shared" si="8"/>
        <v>0</v>
      </c>
      <c r="Q39" s="35">
        <f t="shared" si="9"/>
        <v>0</v>
      </c>
      <c r="R39" s="72">
        <v>1103610</v>
      </c>
      <c r="S39" s="72">
        <f t="shared" si="10"/>
        <v>10400</v>
      </c>
      <c r="T39" s="62">
        <f t="shared" si="11"/>
        <v>10400</v>
      </c>
    </row>
    <row r="40" spans="1:20" ht="25.5">
      <c r="A40" s="9"/>
      <c r="B40" s="9"/>
      <c r="C40" s="9"/>
      <c r="D40" s="69"/>
      <c r="E40" s="69">
        <v>155</v>
      </c>
      <c r="F40" s="117" t="s">
        <v>107</v>
      </c>
      <c r="G40" s="37">
        <v>10400</v>
      </c>
      <c r="H40" s="37">
        <v>0</v>
      </c>
      <c r="I40" s="37">
        <v>0</v>
      </c>
      <c r="J40" s="75">
        <f>M40</f>
        <v>0</v>
      </c>
      <c r="K40" s="35">
        <f>'1.02.'!M40</f>
        <v>0</v>
      </c>
      <c r="L40" s="35"/>
      <c r="M40" s="71">
        <f t="shared" ref="M40" si="22">K40+L40</f>
        <v>0</v>
      </c>
      <c r="N40" s="35">
        <f t="shared" ref="N40" si="23">I40-M40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0</v>
      </c>
      <c r="R40" s="72">
        <v>1103611</v>
      </c>
      <c r="S40" s="72">
        <f t="shared" si="10"/>
        <v>10400</v>
      </c>
      <c r="T40" s="62">
        <f t="shared" si="11"/>
        <v>10400</v>
      </c>
    </row>
    <row r="41" spans="1:20" ht="51">
      <c r="A41" s="118"/>
      <c r="B41" s="118"/>
      <c r="C41" s="119" t="s">
        <v>61</v>
      </c>
      <c r="D41" s="116"/>
      <c r="E41" s="116"/>
      <c r="F41" s="120" t="s">
        <v>62</v>
      </c>
      <c r="G41" s="37">
        <f t="shared" ref="G41:J42" si="24">G42</f>
        <v>1064315</v>
      </c>
      <c r="H41" s="37">
        <f t="shared" si="24"/>
        <v>5636.7</v>
      </c>
      <c r="I41" s="37">
        <f t="shared" si="24"/>
        <v>5636.7</v>
      </c>
      <c r="J41" s="75">
        <f t="shared" si="24"/>
        <v>0</v>
      </c>
      <c r="K41" s="35">
        <f>'1.02.'!M41</f>
        <v>0</v>
      </c>
      <c r="L41" s="35"/>
      <c r="M41" s="71">
        <f t="shared" ref="M41:N42" si="25">M42</f>
        <v>0</v>
      </c>
      <c r="N41" s="35">
        <f t="shared" si="25"/>
        <v>5636.7</v>
      </c>
      <c r="O41" s="70">
        <f t="shared" si="4"/>
        <v>0</v>
      </c>
      <c r="P41" s="71">
        <f t="shared" si="8"/>
        <v>0</v>
      </c>
      <c r="Q41" s="35">
        <f t="shared" si="9"/>
        <v>5636.7</v>
      </c>
      <c r="R41" s="72">
        <v>1103612</v>
      </c>
      <c r="S41" s="72">
        <f t="shared" si="10"/>
        <v>1064315</v>
      </c>
    </row>
    <row r="42" spans="1:20">
      <c r="A42" s="118"/>
      <c r="B42" s="118"/>
      <c r="C42" s="116"/>
      <c r="D42" s="121" t="s">
        <v>35</v>
      </c>
      <c r="E42" s="118"/>
      <c r="F42" s="122"/>
      <c r="G42" s="37">
        <f t="shared" si="24"/>
        <v>1064315</v>
      </c>
      <c r="H42" s="37">
        <f t="shared" si="24"/>
        <v>5636.7</v>
      </c>
      <c r="I42" s="37">
        <f t="shared" si="24"/>
        <v>5636.7</v>
      </c>
      <c r="J42" s="75">
        <f t="shared" si="24"/>
        <v>0</v>
      </c>
      <c r="K42" s="35">
        <f>'1.02.'!M42</f>
        <v>0</v>
      </c>
      <c r="L42" s="35"/>
      <c r="M42" s="71">
        <f t="shared" si="25"/>
        <v>0</v>
      </c>
      <c r="N42" s="35">
        <f t="shared" si="25"/>
        <v>5636.7</v>
      </c>
      <c r="O42" s="70">
        <f t="shared" si="4"/>
        <v>0</v>
      </c>
      <c r="P42" s="71">
        <f t="shared" si="8"/>
        <v>0</v>
      </c>
      <c r="Q42" s="35">
        <f t="shared" si="9"/>
        <v>5636.7</v>
      </c>
      <c r="R42" s="72">
        <v>1103613</v>
      </c>
      <c r="S42" s="72">
        <f t="shared" si="10"/>
        <v>1064315</v>
      </c>
    </row>
    <row r="43" spans="1:20" ht="25.5">
      <c r="A43" s="118"/>
      <c r="B43" s="118"/>
      <c r="C43" s="118"/>
      <c r="D43" s="118"/>
      <c r="E43" s="118">
        <v>361</v>
      </c>
      <c r="F43" s="117" t="s">
        <v>63</v>
      </c>
      <c r="G43" s="37">
        <v>1064315</v>
      </c>
      <c r="H43" s="37">
        <v>5636.7</v>
      </c>
      <c r="I43" s="37">
        <v>5636.7</v>
      </c>
      <c r="J43" s="75">
        <f>M43</f>
        <v>0</v>
      </c>
      <c r="K43" s="35">
        <f>'1.02.'!M43</f>
        <v>0</v>
      </c>
      <c r="L43" s="35"/>
      <c r="M43" s="71">
        <f t="shared" ref="M43" si="26">K43+L43</f>
        <v>0</v>
      </c>
      <c r="N43" s="35">
        <f t="shared" ref="N43" si="27">I43-M43</f>
        <v>5636.7</v>
      </c>
      <c r="O43" s="70">
        <f t="shared" si="4"/>
        <v>0</v>
      </c>
      <c r="P43" s="71">
        <f t="shared" si="8"/>
        <v>0</v>
      </c>
      <c r="Q43" s="35">
        <f t="shared" si="9"/>
        <v>5636.7</v>
      </c>
      <c r="R43" s="72">
        <v>1103614</v>
      </c>
      <c r="S43" s="72">
        <f t="shared" si="10"/>
        <v>1064315</v>
      </c>
    </row>
    <row r="44" spans="1:20" s="73" customFormat="1" ht="25.5">
      <c r="A44" s="8"/>
      <c r="B44" s="8"/>
      <c r="C44" s="8" t="s">
        <v>21</v>
      </c>
      <c r="D44" s="10"/>
      <c r="E44" s="10"/>
      <c r="F44" s="137" t="s">
        <v>108</v>
      </c>
      <c r="G44" s="81">
        <f>G45</f>
        <v>1464726</v>
      </c>
      <c r="H44" s="81">
        <f t="shared" ref="H44:N45" si="28">H45</f>
        <v>473324</v>
      </c>
      <c r="I44" s="81">
        <f t="shared" si="28"/>
        <v>403266</v>
      </c>
      <c r="J44" s="81">
        <f t="shared" si="28"/>
        <v>403266</v>
      </c>
      <c r="K44" s="29">
        <f>'1.02.'!M44</f>
        <v>125000</v>
      </c>
      <c r="L44" s="81">
        <f t="shared" si="28"/>
        <v>199130</v>
      </c>
      <c r="M44" s="81">
        <f t="shared" si="28"/>
        <v>403266</v>
      </c>
      <c r="N44" s="81">
        <f t="shared" si="28"/>
        <v>0</v>
      </c>
      <c r="O44" s="68">
        <f t="shared" si="4"/>
        <v>100</v>
      </c>
      <c r="P44" s="71">
        <f t="shared" si="8"/>
        <v>0</v>
      </c>
      <c r="Q44" s="35">
        <f t="shared" si="9"/>
        <v>70058</v>
      </c>
      <c r="R44" s="72">
        <v>1103615</v>
      </c>
      <c r="S44" s="72">
        <f t="shared" si="10"/>
        <v>1061460</v>
      </c>
      <c r="T44" s="62">
        <f t="shared" si="11"/>
        <v>1061460</v>
      </c>
    </row>
    <row r="45" spans="1:20" s="73" customFormat="1">
      <c r="A45" s="8"/>
      <c r="B45" s="8"/>
      <c r="C45" s="8"/>
      <c r="D45" s="43" t="s">
        <v>7</v>
      </c>
      <c r="E45" s="44"/>
      <c r="F45" s="135" t="s">
        <v>85</v>
      </c>
      <c r="G45" s="82">
        <f>G46</f>
        <v>1464726</v>
      </c>
      <c r="H45" s="82">
        <f t="shared" si="28"/>
        <v>473324</v>
      </c>
      <c r="I45" s="82">
        <f t="shared" si="28"/>
        <v>403266</v>
      </c>
      <c r="J45" s="82">
        <f t="shared" si="28"/>
        <v>403266</v>
      </c>
      <c r="K45" s="29">
        <f>'1.02.'!M45</f>
        <v>125000</v>
      </c>
      <c r="L45" s="82">
        <f t="shared" si="28"/>
        <v>199130</v>
      </c>
      <c r="M45" s="82">
        <f t="shared" si="28"/>
        <v>403266</v>
      </c>
      <c r="N45" s="82">
        <f t="shared" si="28"/>
        <v>0</v>
      </c>
      <c r="O45" s="70">
        <f t="shared" si="4"/>
        <v>100</v>
      </c>
      <c r="P45" s="71">
        <f t="shared" si="8"/>
        <v>0</v>
      </c>
      <c r="Q45" s="35">
        <f t="shared" si="9"/>
        <v>70058</v>
      </c>
      <c r="R45" s="72">
        <v>1103616</v>
      </c>
      <c r="S45" s="72">
        <f t="shared" si="10"/>
        <v>1061460</v>
      </c>
      <c r="T45" s="62"/>
    </row>
    <row r="46" spans="1:20" s="73" customFormat="1" ht="25.5">
      <c r="A46" s="8"/>
      <c r="B46" s="8"/>
      <c r="C46" s="8"/>
      <c r="D46" s="45"/>
      <c r="E46" s="46">
        <v>339</v>
      </c>
      <c r="F46" s="138" t="s">
        <v>109</v>
      </c>
      <c r="G46" s="84">
        <f>SUM(G47:G54)</f>
        <v>1464726</v>
      </c>
      <c r="H46" s="84">
        <f t="shared" ref="H46:J46" si="29">SUM(H47:H54)</f>
        <v>473324</v>
      </c>
      <c r="I46" s="84">
        <f>SUM(I47:I54)</f>
        <v>403266</v>
      </c>
      <c r="J46" s="108">
        <f t="shared" si="29"/>
        <v>403266</v>
      </c>
      <c r="K46" s="35">
        <f>'1.02.'!M46</f>
        <v>125000</v>
      </c>
      <c r="L46" s="84">
        <f>SUM(L47:L54)</f>
        <v>199130</v>
      </c>
      <c r="M46" s="84">
        <f>SUM(M47:M54)</f>
        <v>403266</v>
      </c>
      <c r="N46" s="84">
        <f>SUM(N47:N54)</f>
        <v>0</v>
      </c>
      <c r="O46" s="70">
        <f t="shared" si="4"/>
        <v>100</v>
      </c>
      <c r="P46" s="71">
        <f t="shared" si="8"/>
        <v>0</v>
      </c>
      <c r="Q46" s="35">
        <f t="shared" si="9"/>
        <v>70058</v>
      </c>
      <c r="R46" s="72">
        <v>1103617</v>
      </c>
      <c r="S46" s="72">
        <f t="shared" si="10"/>
        <v>1061460</v>
      </c>
      <c r="T46" s="62"/>
    </row>
    <row r="47" spans="1:20" s="73" customFormat="1">
      <c r="A47" s="8"/>
      <c r="B47" s="8"/>
      <c r="C47" s="8"/>
      <c r="D47" s="45"/>
      <c r="E47" s="46"/>
      <c r="F47" s="47" t="s">
        <v>46</v>
      </c>
      <c r="G47" s="83">
        <f>G57+G66+G75+G84+G93</f>
        <v>547812</v>
      </c>
      <c r="H47" s="83">
        <f t="shared" ref="H47:J47" si="30">H57+H66+H75+H84+H93</f>
        <v>64056</v>
      </c>
      <c r="I47" s="83">
        <f t="shared" si="30"/>
        <v>64056</v>
      </c>
      <c r="J47" s="83">
        <f t="shared" si="30"/>
        <v>64056</v>
      </c>
      <c r="K47" s="83">
        <f t="shared" ref="K47:N47" si="31">K57+K66+K75+K84+K93</f>
        <v>36434</v>
      </c>
      <c r="L47" s="83">
        <f t="shared" si="31"/>
        <v>27622</v>
      </c>
      <c r="M47" s="83">
        <f t="shared" si="31"/>
        <v>64056</v>
      </c>
      <c r="N47" s="83">
        <f t="shared" si="31"/>
        <v>0</v>
      </c>
      <c r="O47" s="70">
        <f t="shared" si="4"/>
        <v>100</v>
      </c>
      <c r="P47" s="71">
        <f t="shared" si="8"/>
        <v>0</v>
      </c>
      <c r="Q47" s="35">
        <f t="shared" si="9"/>
        <v>0</v>
      </c>
      <c r="R47" s="72">
        <v>1103618</v>
      </c>
      <c r="S47" s="72">
        <f t="shared" si="10"/>
        <v>483756</v>
      </c>
      <c r="T47" s="62"/>
    </row>
    <row r="48" spans="1:20" s="73" customFormat="1">
      <c r="A48" s="8"/>
      <c r="B48" s="8"/>
      <c r="C48" s="8"/>
      <c r="D48" s="45"/>
      <c r="E48" s="46"/>
      <c r="F48" s="47" t="s">
        <v>8</v>
      </c>
      <c r="G48" s="83">
        <f t="shared" ref="G48:J54" si="32">G58+G67+G76+G85+G94</f>
        <v>60337</v>
      </c>
      <c r="H48" s="83">
        <f t="shared" si="32"/>
        <v>14607</v>
      </c>
      <c r="I48" s="83">
        <f t="shared" si="32"/>
        <v>14607</v>
      </c>
      <c r="J48" s="83">
        <f t="shared" si="32"/>
        <v>14607</v>
      </c>
      <c r="K48" s="83">
        <f t="shared" ref="K48:N48" si="33">K58+K67+K76+K85+K94</f>
        <v>3392</v>
      </c>
      <c r="L48" s="83">
        <f t="shared" si="33"/>
        <v>11215</v>
      </c>
      <c r="M48" s="83">
        <f t="shared" si="33"/>
        <v>14607</v>
      </c>
      <c r="N48" s="83">
        <f t="shared" si="33"/>
        <v>0</v>
      </c>
      <c r="O48" s="70">
        <f t="shared" si="4"/>
        <v>100</v>
      </c>
      <c r="P48" s="71">
        <f t="shared" si="8"/>
        <v>0</v>
      </c>
      <c r="Q48" s="35">
        <f t="shared" si="9"/>
        <v>0</v>
      </c>
      <c r="R48" s="72">
        <v>1103619</v>
      </c>
      <c r="S48" s="72">
        <f t="shared" si="10"/>
        <v>45730</v>
      </c>
      <c r="T48" s="62"/>
    </row>
    <row r="49" spans="1:20" s="73" customFormat="1">
      <c r="A49" s="8"/>
      <c r="B49" s="8"/>
      <c r="C49" s="8"/>
      <c r="D49" s="45"/>
      <c r="E49" s="46"/>
      <c r="F49" s="49" t="s">
        <v>9</v>
      </c>
      <c r="G49" s="83">
        <f t="shared" si="32"/>
        <v>123501</v>
      </c>
      <c r="H49" s="83">
        <f t="shared" si="32"/>
        <v>24027</v>
      </c>
      <c r="I49" s="83">
        <f t="shared" si="32"/>
        <v>24027</v>
      </c>
      <c r="J49" s="83">
        <f t="shared" si="32"/>
        <v>24027</v>
      </c>
      <c r="K49" s="83">
        <f t="shared" ref="K49:N49" si="34">K59+K68+K77+K86+K95</f>
        <v>10353</v>
      </c>
      <c r="L49" s="83">
        <f t="shared" si="34"/>
        <v>13674</v>
      </c>
      <c r="M49" s="83">
        <f t="shared" si="34"/>
        <v>24027</v>
      </c>
      <c r="N49" s="83">
        <f t="shared" si="34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1103620</v>
      </c>
      <c r="S49" s="72">
        <f t="shared" si="10"/>
        <v>99474</v>
      </c>
      <c r="T49" s="62"/>
    </row>
    <row r="50" spans="1:20" s="73" customFormat="1">
      <c r="A50" s="8"/>
      <c r="B50" s="8"/>
      <c r="C50" s="8"/>
      <c r="D50" s="45"/>
      <c r="E50" s="46"/>
      <c r="F50" s="49" t="s">
        <v>10</v>
      </c>
      <c r="G50" s="83">
        <f t="shared" si="32"/>
        <v>48916</v>
      </c>
      <c r="H50" s="83">
        <f t="shared" si="32"/>
        <v>5388</v>
      </c>
      <c r="I50" s="83">
        <f t="shared" si="32"/>
        <v>5388</v>
      </c>
      <c r="J50" s="83">
        <f t="shared" si="32"/>
        <v>5388</v>
      </c>
      <c r="K50" s="83">
        <f t="shared" ref="K50:N50" si="35">K60+K69+K78+K87+K96</f>
        <v>2079</v>
      </c>
      <c r="L50" s="83">
        <f t="shared" si="35"/>
        <v>3309</v>
      </c>
      <c r="M50" s="83">
        <f t="shared" si="35"/>
        <v>5388</v>
      </c>
      <c r="N50" s="83">
        <f t="shared" si="35"/>
        <v>0</v>
      </c>
      <c r="O50" s="70">
        <f t="shared" si="4"/>
        <v>100</v>
      </c>
      <c r="P50" s="71">
        <f t="shared" si="8"/>
        <v>0</v>
      </c>
      <c r="Q50" s="35">
        <f t="shared" si="9"/>
        <v>0</v>
      </c>
      <c r="R50" s="72">
        <v>1103621</v>
      </c>
      <c r="S50" s="72">
        <f t="shared" si="10"/>
        <v>43528</v>
      </c>
      <c r="T50" s="62"/>
    </row>
    <row r="51" spans="1:20" s="73" customFormat="1">
      <c r="A51" s="8"/>
      <c r="B51" s="8"/>
      <c r="C51" s="8"/>
      <c r="D51" s="45"/>
      <c r="E51" s="46"/>
      <c r="F51" s="49" t="s">
        <v>47</v>
      </c>
      <c r="G51" s="83">
        <f t="shared" si="32"/>
        <v>85380</v>
      </c>
      <c r="H51" s="83">
        <f t="shared" si="32"/>
        <v>15060</v>
      </c>
      <c r="I51" s="83">
        <f t="shared" si="32"/>
        <v>15060</v>
      </c>
      <c r="J51" s="83">
        <f t="shared" si="32"/>
        <v>15060</v>
      </c>
      <c r="K51" s="83">
        <f t="shared" ref="K51:N51" si="36">K61+K70+K79+K88+K97</f>
        <v>7918</v>
      </c>
      <c r="L51" s="83">
        <f t="shared" si="36"/>
        <v>7142</v>
      </c>
      <c r="M51" s="83">
        <f t="shared" si="36"/>
        <v>15060</v>
      </c>
      <c r="N51" s="83">
        <f t="shared" si="36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1103622</v>
      </c>
      <c r="S51" s="72">
        <f t="shared" si="10"/>
        <v>70320</v>
      </c>
      <c r="T51" s="62"/>
    </row>
    <row r="52" spans="1:20" s="73" customFormat="1">
      <c r="A52" s="8"/>
      <c r="B52" s="8"/>
      <c r="C52" s="8"/>
      <c r="D52" s="45"/>
      <c r="E52" s="46"/>
      <c r="F52" s="49" t="s">
        <v>48</v>
      </c>
      <c r="G52" s="83">
        <f t="shared" si="32"/>
        <v>145294</v>
      </c>
      <c r="H52" s="83">
        <f t="shared" si="32"/>
        <v>18368</v>
      </c>
      <c r="I52" s="83">
        <f t="shared" si="32"/>
        <v>18368</v>
      </c>
      <c r="J52" s="83">
        <f t="shared" si="32"/>
        <v>18368</v>
      </c>
      <c r="K52" s="83">
        <f t="shared" ref="K52:N52" si="37">K62+K71+K80+K89+K98</f>
        <v>11590</v>
      </c>
      <c r="L52" s="83">
        <f t="shared" si="37"/>
        <v>6778</v>
      </c>
      <c r="M52" s="83">
        <f t="shared" si="37"/>
        <v>18368</v>
      </c>
      <c r="N52" s="83">
        <f t="shared" si="37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1103623</v>
      </c>
      <c r="S52" s="72">
        <f t="shared" si="10"/>
        <v>126926</v>
      </c>
      <c r="T52" s="62"/>
    </row>
    <row r="53" spans="1:20" s="73" customFormat="1">
      <c r="A53" s="8"/>
      <c r="B53" s="8"/>
      <c r="C53" s="8"/>
      <c r="D53" s="45"/>
      <c r="E53" s="46"/>
      <c r="F53" s="49" t="s">
        <v>12</v>
      </c>
      <c r="G53" s="83">
        <f t="shared" si="32"/>
        <v>379340</v>
      </c>
      <c r="H53" s="83">
        <f t="shared" si="32"/>
        <v>321320</v>
      </c>
      <c r="I53" s="83">
        <f t="shared" si="32"/>
        <v>251262</v>
      </c>
      <c r="J53" s="83">
        <f t="shared" si="32"/>
        <v>251262</v>
      </c>
      <c r="K53" s="83">
        <f t="shared" ref="K53:N53" si="38">K63+K72+K81+K90+K99</f>
        <v>128253</v>
      </c>
      <c r="L53" s="83">
        <f t="shared" si="38"/>
        <v>123009</v>
      </c>
      <c r="M53" s="83">
        <f t="shared" si="38"/>
        <v>251262</v>
      </c>
      <c r="N53" s="83">
        <f t="shared" si="38"/>
        <v>0</v>
      </c>
      <c r="O53" s="70">
        <f t="shared" si="4"/>
        <v>100</v>
      </c>
      <c r="P53" s="71">
        <f t="shared" si="8"/>
        <v>0</v>
      </c>
      <c r="Q53" s="35">
        <f t="shared" si="9"/>
        <v>70058</v>
      </c>
      <c r="R53" s="72">
        <v>1103624</v>
      </c>
      <c r="S53" s="72">
        <f t="shared" si="10"/>
        <v>128078</v>
      </c>
      <c r="T53" s="62"/>
    </row>
    <row r="54" spans="1:20" s="73" customFormat="1">
      <c r="A54" s="8"/>
      <c r="B54" s="8"/>
      <c r="C54" s="8"/>
      <c r="D54" s="45"/>
      <c r="E54" s="46"/>
      <c r="F54" s="49" t="s">
        <v>11</v>
      </c>
      <c r="G54" s="83">
        <f t="shared" si="32"/>
        <v>74146</v>
      </c>
      <c r="H54" s="83">
        <f t="shared" si="32"/>
        <v>10498</v>
      </c>
      <c r="I54" s="83">
        <f t="shared" si="32"/>
        <v>10498</v>
      </c>
      <c r="J54" s="83">
        <f t="shared" si="32"/>
        <v>10498</v>
      </c>
      <c r="K54" s="83">
        <f t="shared" ref="K54:N54" si="39">K64+K73+K82+K91+K100</f>
        <v>4117</v>
      </c>
      <c r="L54" s="83">
        <f t="shared" si="39"/>
        <v>6381</v>
      </c>
      <c r="M54" s="83">
        <f t="shared" si="39"/>
        <v>10498</v>
      </c>
      <c r="N54" s="83">
        <f t="shared" si="39"/>
        <v>0</v>
      </c>
      <c r="O54" s="70">
        <f t="shared" si="4"/>
        <v>100</v>
      </c>
      <c r="P54" s="71">
        <f t="shared" si="8"/>
        <v>0</v>
      </c>
      <c r="Q54" s="35">
        <f t="shared" si="9"/>
        <v>0</v>
      </c>
      <c r="R54" s="72">
        <v>1103625</v>
      </c>
      <c r="S54" s="72">
        <f t="shared" si="10"/>
        <v>63648</v>
      </c>
      <c r="T54" s="62"/>
    </row>
    <row r="55" spans="1:20" s="73" customFormat="1">
      <c r="A55" s="8"/>
      <c r="B55" s="8"/>
      <c r="C55" s="8"/>
      <c r="D55" s="45"/>
      <c r="E55" s="46"/>
      <c r="F55" s="50" t="s">
        <v>110</v>
      </c>
      <c r="G55" s="82"/>
      <c r="H55" s="82"/>
      <c r="I55" s="82"/>
      <c r="J55" s="75" t="e">
        <f t="shared" ref="J55:J73" si="40">M55</f>
        <v>#REF!</v>
      </c>
      <c r="K55" s="35" t="e">
        <f>'1.02.'!M55</f>
        <v>#REF!</v>
      </c>
      <c r="L55" s="35"/>
      <c r="M55" s="80" t="e">
        <f t="shared" ref="M55:M73" si="41">K55+L55</f>
        <v>#REF!</v>
      </c>
      <c r="N55" s="35" t="e">
        <f t="shared" ref="N55:N64" si="42">I55-M55</f>
        <v>#REF!</v>
      </c>
      <c r="O55" s="70" t="e">
        <f t="shared" si="4"/>
        <v>#REF!</v>
      </c>
      <c r="P55" s="71" t="e">
        <f t="shared" si="8"/>
        <v>#REF!</v>
      </c>
      <c r="Q55" s="35" t="e">
        <f t="shared" si="9"/>
        <v>#REF!</v>
      </c>
      <c r="R55" s="72">
        <v>1103626</v>
      </c>
      <c r="S55" s="72" t="e">
        <f t="shared" si="10"/>
        <v>#REF!</v>
      </c>
      <c r="T55" s="62"/>
    </row>
    <row r="56" spans="1:20" s="73" customFormat="1">
      <c r="A56" s="8"/>
      <c r="B56" s="8"/>
      <c r="C56" s="8"/>
      <c r="D56" s="44"/>
      <c r="E56" s="52"/>
      <c r="F56" s="53" t="s">
        <v>111</v>
      </c>
      <c r="G56" s="84">
        <f>SUM(G57:G64)</f>
        <v>615150</v>
      </c>
      <c r="H56" s="84">
        <f t="shared" ref="H56:N56" si="43">SUM(H57:H64)</f>
        <v>85028</v>
      </c>
      <c r="I56" s="84">
        <f t="shared" si="43"/>
        <v>85028</v>
      </c>
      <c r="J56" s="108">
        <f t="shared" si="43"/>
        <v>85028</v>
      </c>
      <c r="K56" s="35">
        <f>'1.02.'!M56</f>
        <v>0</v>
      </c>
      <c r="L56" s="84">
        <f t="shared" si="43"/>
        <v>44927</v>
      </c>
      <c r="M56" s="84">
        <f t="shared" si="43"/>
        <v>85028</v>
      </c>
      <c r="N56" s="84">
        <f t="shared" si="43"/>
        <v>0</v>
      </c>
      <c r="O56" s="70">
        <f t="shared" si="4"/>
        <v>100</v>
      </c>
      <c r="P56" s="71">
        <f t="shared" si="8"/>
        <v>0</v>
      </c>
      <c r="Q56" s="35">
        <f t="shared" si="9"/>
        <v>0</v>
      </c>
      <c r="R56" s="72">
        <v>1103627</v>
      </c>
      <c r="S56" s="72">
        <f t="shared" si="10"/>
        <v>530122</v>
      </c>
      <c r="T56" s="62"/>
    </row>
    <row r="57" spans="1:20" s="73" customFormat="1">
      <c r="A57" s="8"/>
      <c r="B57" s="8"/>
      <c r="C57" s="8"/>
      <c r="D57" s="45"/>
      <c r="E57" s="45"/>
      <c r="F57" s="47" t="s">
        <v>46</v>
      </c>
      <c r="G57" s="83">
        <v>233757</v>
      </c>
      <c r="H57" s="83">
        <f>14105+15933</f>
        <v>30038</v>
      </c>
      <c r="I57" s="83">
        <f>H57</f>
        <v>30038</v>
      </c>
      <c r="J57" s="75">
        <f>M57</f>
        <v>30038</v>
      </c>
      <c r="K57" s="35">
        <f>'1.03.'!M57</f>
        <v>14105</v>
      </c>
      <c r="L57" s="35">
        <v>15933</v>
      </c>
      <c r="M57" s="80">
        <f t="shared" si="41"/>
        <v>30038</v>
      </c>
      <c r="N57" s="35">
        <f t="shared" si="42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1103628</v>
      </c>
      <c r="S57" s="72">
        <f t="shared" si="10"/>
        <v>203719</v>
      </c>
      <c r="T57" s="62"/>
    </row>
    <row r="58" spans="1:20" s="73" customFormat="1">
      <c r="A58" s="8"/>
      <c r="B58" s="8"/>
      <c r="C58" s="8"/>
      <c r="D58" s="45"/>
      <c r="E58" s="45"/>
      <c r="F58" s="47" t="s">
        <v>8</v>
      </c>
      <c r="G58" s="83">
        <v>33218</v>
      </c>
      <c r="H58" s="83">
        <f>3154+3907</f>
        <v>7061</v>
      </c>
      <c r="I58" s="83">
        <f t="shared" ref="I58:I64" si="44">H58</f>
        <v>7061</v>
      </c>
      <c r="J58" s="75">
        <f t="shared" si="40"/>
        <v>7061</v>
      </c>
      <c r="K58" s="35">
        <f>'1.03.'!M58</f>
        <v>3154</v>
      </c>
      <c r="L58" s="35">
        <v>3907</v>
      </c>
      <c r="M58" s="80">
        <f t="shared" si="41"/>
        <v>7061</v>
      </c>
      <c r="N58" s="35">
        <f t="shared" si="42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1103629</v>
      </c>
      <c r="S58" s="72">
        <f t="shared" si="10"/>
        <v>26157</v>
      </c>
      <c r="T58" s="62"/>
    </row>
    <row r="59" spans="1:20" s="73" customFormat="1">
      <c r="A59" s="8"/>
      <c r="B59" s="8"/>
      <c r="C59" s="8"/>
      <c r="D59" s="45"/>
      <c r="E59" s="45"/>
      <c r="F59" s="49" t="s">
        <v>9</v>
      </c>
      <c r="G59" s="83">
        <v>91657</v>
      </c>
      <c r="H59" s="83">
        <f>5815+6877</f>
        <v>12692</v>
      </c>
      <c r="I59" s="83">
        <f t="shared" si="44"/>
        <v>12692</v>
      </c>
      <c r="J59" s="75">
        <f t="shared" si="40"/>
        <v>12692</v>
      </c>
      <c r="K59" s="35">
        <f>'1.03.'!M59</f>
        <v>5815</v>
      </c>
      <c r="L59" s="35">
        <v>6877</v>
      </c>
      <c r="M59" s="80">
        <f t="shared" si="41"/>
        <v>12692</v>
      </c>
      <c r="N59" s="35">
        <f t="shared" si="42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1103630</v>
      </c>
      <c r="S59" s="72">
        <f t="shared" si="10"/>
        <v>78965</v>
      </c>
      <c r="T59" s="62"/>
    </row>
    <row r="60" spans="1:20" s="73" customFormat="1">
      <c r="A60" s="8"/>
      <c r="B60" s="8"/>
      <c r="C60" s="8"/>
      <c r="D60" s="45"/>
      <c r="E60" s="45"/>
      <c r="F60" s="49" t="s">
        <v>10</v>
      </c>
      <c r="G60" s="83">
        <v>25221</v>
      </c>
      <c r="H60" s="83">
        <f>1864+2063</f>
        <v>3927</v>
      </c>
      <c r="I60" s="83">
        <f t="shared" si="44"/>
        <v>3927</v>
      </c>
      <c r="J60" s="75">
        <f t="shared" si="40"/>
        <v>3927</v>
      </c>
      <c r="K60" s="35">
        <f>'1.03.'!M60</f>
        <v>1864</v>
      </c>
      <c r="L60" s="35">
        <v>2063</v>
      </c>
      <c r="M60" s="80">
        <f t="shared" si="41"/>
        <v>3927</v>
      </c>
      <c r="N60" s="35">
        <f t="shared" si="42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1103631</v>
      </c>
      <c r="S60" s="72">
        <f t="shared" si="10"/>
        <v>21294</v>
      </c>
      <c r="T60" s="62"/>
    </row>
    <row r="61" spans="1:20" s="73" customFormat="1">
      <c r="A61" s="8"/>
      <c r="B61" s="8"/>
      <c r="C61" s="8"/>
      <c r="D61" s="45"/>
      <c r="E61" s="45"/>
      <c r="F61" s="49" t="s">
        <v>47</v>
      </c>
      <c r="G61" s="83">
        <v>55364</v>
      </c>
      <c r="H61" s="83">
        <f>4910+5242</f>
        <v>10152</v>
      </c>
      <c r="I61" s="83">
        <f t="shared" si="44"/>
        <v>10152</v>
      </c>
      <c r="J61" s="75">
        <f t="shared" si="40"/>
        <v>10152</v>
      </c>
      <c r="K61" s="35">
        <f>'1.03.'!M61</f>
        <v>4910</v>
      </c>
      <c r="L61" s="35">
        <v>5242</v>
      </c>
      <c r="M61" s="80">
        <f t="shared" si="41"/>
        <v>10152</v>
      </c>
      <c r="N61" s="35">
        <f t="shared" si="42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1103632</v>
      </c>
      <c r="S61" s="72">
        <f t="shared" si="10"/>
        <v>45212</v>
      </c>
      <c r="T61" s="62"/>
    </row>
    <row r="62" spans="1:20" s="73" customFormat="1">
      <c r="A62" s="8"/>
      <c r="B62" s="8"/>
      <c r="C62" s="8"/>
      <c r="D62" s="45"/>
      <c r="E62" s="45"/>
      <c r="F62" s="49" t="s">
        <v>48</v>
      </c>
      <c r="G62" s="83">
        <v>96579</v>
      </c>
      <c r="H62" s="83">
        <f>5824+6008</f>
        <v>11832</v>
      </c>
      <c r="I62" s="83">
        <f t="shared" si="44"/>
        <v>11832</v>
      </c>
      <c r="J62" s="75">
        <f t="shared" si="40"/>
        <v>11832</v>
      </c>
      <c r="K62" s="35">
        <f>'1.03.'!M62</f>
        <v>5824</v>
      </c>
      <c r="L62" s="35">
        <v>6008</v>
      </c>
      <c r="M62" s="80">
        <f t="shared" si="41"/>
        <v>11832</v>
      </c>
      <c r="N62" s="35">
        <f t="shared" si="42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1103633</v>
      </c>
      <c r="S62" s="72">
        <f t="shared" si="10"/>
        <v>84747</v>
      </c>
      <c r="T62" s="62"/>
    </row>
    <row r="63" spans="1:20" s="73" customFormat="1">
      <c r="A63" s="8"/>
      <c r="B63" s="8"/>
      <c r="C63" s="8"/>
      <c r="D63" s="45"/>
      <c r="E63" s="45"/>
      <c r="F63" s="49" t="s">
        <v>12</v>
      </c>
      <c r="G63" s="83">
        <v>33833</v>
      </c>
      <c r="H63" s="83">
        <f>2019+2264</f>
        <v>4283</v>
      </c>
      <c r="I63" s="83">
        <f t="shared" si="44"/>
        <v>4283</v>
      </c>
      <c r="J63" s="75">
        <f t="shared" si="40"/>
        <v>4283</v>
      </c>
      <c r="K63" s="35">
        <f>'1.03.'!M63</f>
        <v>2019</v>
      </c>
      <c r="L63" s="35">
        <v>2264</v>
      </c>
      <c r="M63" s="80">
        <f t="shared" si="41"/>
        <v>4283</v>
      </c>
      <c r="N63" s="35">
        <f t="shared" si="42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1103634</v>
      </c>
      <c r="S63" s="72">
        <f t="shared" si="10"/>
        <v>29550</v>
      </c>
      <c r="T63" s="62"/>
    </row>
    <row r="64" spans="1:20" s="73" customFormat="1">
      <c r="A64" s="8"/>
      <c r="B64" s="8"/>
      <c r="C64" s="8"/>
      <c r="D64" s="45"/>
      <c r="E64" s="45"/>
      <c r="F64" s="49" t="s">
        <v>11</v>
      </c>
      <c r="G64" s="83">
        <v>45521</v>
      </c>
      <c r="H64" s="83">
        <f>2410+2633</f>
        <v>5043</v>
      </c>
      <c r="I64" s="83">
        <f t="shared" si="44"/>
        <v>5043</v>
      </c>
      <c r="J64" s="75">
        <f t="shared" si="40"/>
        <v>5043</v>
      </c>
      <c r="K64" s="35">
        <f>'1.03.'!M64</f>
        <v>2410</v>
      </c>
      <c r="L64" s="35">
        <v>2633</v>
      </c>
      <c r="M64" s="80">
        <f t="shared" si="41"/>
        <v>5043</v>
      </c>
      <c r="N64" s="35">
        <f t="shared" si="42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1103635</v>
      </c>
      <c r="S64" s="72">
        <f t="shared" si="10"/>
        <v>40478</v>
      </c>
      <c r="T64" s="62"/>
    </row>
    <row r="65" spans="1:20" s="73" customFormat="1" ht="25.5">
      <c r="A65" s="8"/>
      <c r="B65" s="8"/>
      <c r="C65" s="8"/>
      <c r="D65" s="44"/>
      <c r="E65" s="52"/>
      <c r="F65" s="53" t="s">
        <v>112</v>
      </c>
      <c r="G65" s="84">
        <f>SUM(G66:G73)</f>
        <v>111098</v>
      </c>
      <c r="H65" s="84">
        <f t="shared" ref="H65:N65" si="45">SUM(H66:H73)</f>
        <v>9159</v>
      </c>
      <c r="I65" s="84">
        <f t="shared" si="45"/>
        <v>9159</v>
      </c>
      <c r="J65" s="108">
        <f t="shared" si="45"/>
        <v>9159</v>
      </c>
      <c r="K65" s="35">
        <f>'1.02.'!M65</f>
        <v>0</v>
      </c>
      <c r="L65" s="84">
        <f t="shared" si="45"/>
        <v>4922</v>
      </c>
      <c r="M65" s="84">
        <f t="shared" si="45"/>
        <v>9159</v>
      </c>
      <c r="N65" s="84">
        <f t="shared" si="45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1103636</v>
      </c>
      <c r="S65" s="72">
        <f t="shared" si="10"/>
        <v>101939</v>
      </c>
      <c r="T65" s="62"/>
    </row>
    <row r="66" spans="1:20" s="73" customFormat="1">
      <c r="A66" s="8"/>
      <c r="B66" s="8"/>
      <c r="C66" s="8"/>
      <c r="D66" s="45"/>
      <c r="E66" s="45"/>
      <c r="F66" s="47" t="s">
        <v>46</v>
      </c>
      <c r="G66" s="83">
        <v>38884</v>
      </c>
      <c r="H66" s="83">
        <f>1421+1689</f>
        <v>3110</v>
      </c>
      <c r="I66" s="83">
        <f>H66</f>
        <v>3110</v>
      </c>
      <c r="J66" s="75">
        <f t="shared" si="40"/>
        <v>3110</v>
      </c>
      <c r="K66" s="35">
        <f>'1.03.'!M66</f>
        <v>1421</v>
      </c>
      <c r="L66" s="35">
        <v>1689</v>
      </c>
      <c r="M66" s="80">
        <f t="shared" si="41"/>
        <v>3110</v>
      </c>
      <c r="N66" s="35">
        <f t="shared" ref="N66:N73" si="46">I66-M66</f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1103637</v>
      </c>
      <c r="S66" s="72">
        <f t="shared" si="10"/>
        <v>35774</v>
      </c>
      <c r="T66" s="62"/>
    </row>
    <row r="67" spans="1:20" s="73" customFormat="1">
      <c r="A67" s="8"/>
      <c r="B67" s="8"/>
      <c r="C67" s="8"/>
      <c r="D67" s="45"/>
      <c r="E67" s="45"/>
      <c r="F67" s="47" t="s">
        <v>8</v>
      </c>
      <c r="G67" s="83">
        <v>7221</v>
      </c>
      <c r="H67" s="83">
        <f>238+322</f>
        <v>560</v>
      </c>
      <c r="I67" s="83">
        <f t="shared" ref="I67:I73" si="47">H67</f>
        <v>560</v>
      </c>
      <c r="J67" s="75">
        <f t="shared" si="40"/>
        <v>560</v>
      </c>
      <c r="K67" s="35">
        <f>'1.03.'!M67</f>
        <v>238</v>
      </c>
      <c r="L67" s="35">
        <v>322</v>
      </c>
      <c r="M67" s="80">
        <f t="shared" si="41"/>
        <v>560</v>
      </c>
      <c r="N67" s="35">
        <f t="shared" si="46"/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1103638</v>
      </c>
      <c r="S67" s="72">
        <f t="shared" si="10"/>
        <v>6661</v>
      </c>
      <c r="T67" s="62"/>
    </row>
    <row r="68" spans="1:20" s="73" customFormat="1">
      <c r="A68" s="8"/>
      <c r="B68" s="8"/>
      <c r="C68" s="8"/>
      <c r="D68" s="45"/>
      <c r="E68" s="45"/>
      <c r="F68" s="49" t="s">
        <v>9</v>
      </c>
      <c r="G68" s="83">
        <v>13554</v>
      </c>
      <c r="H68" s="83">
        <f>588+692</f>
        <v>1280</v>
      </c>
      <c r="I68" s="83">
        <f t="shared" si="47"/>
        <v>1280</v>
      </c>
      <c r="J68" s="75">
        <f t="shared" si="40"/>
        <v>1280</v>
      </c>
      <c r="K68" s="35">
        <f>'1.03.'!M68</f>
        <v>588</v>
      </c>
      <c r="L68" s="35">
        <v>692</v>
      </c>
      <c r="M68" s="80">
        <f t="shared" si="41"/>
        <v>1280</v>
      </c>
      <c r="N68" s="35">
        <f t="shared" si="46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1103639</v>
      </c>
      <c r="S68" s="72">
        <f t="shared" si="10"/>
        <v>12274</v>
      </c>
      <c r="T68" s="62"/>
    </row>
    <row r="69" spans="1:20" s="73" customFormat="1">
      <c r="A69" s="8"/>
      <c r="B69" s="8"/>
      <c r="C69" s="8"/>
      <c r="D69" s="45"/>
      <c r="E69" s="45"/>
      <c r="F69" s="49" t="s">
        <v>10</v>
      </c>
      <c r="G69" s="83">
        <v>4777</v>
      </c>
      <c r="H69" s="83">
        <f>215+246</f>
        <v>461</v>
      </c>
      <c r="I69" s="83">
        <f t="shared" si="47"/>
        <v>461</v>
      </c>
      <c r="J69" s="75">
        <f t="shared" si="40"/>
        <v>461</v>
      </c>
      <c r="K69" s="35">
        <f>'1.03.'!M69</f>
        <v>215</v>
      </c>
      <c r="L69" s="35">
        <v>246</v>
      </c>
      <c r="M69" s="80">
        <f t="shared" si="41"/>
        <v>461</v>
      </c>
      <c r="N69" s="35">
        <f t="shared" si="46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1103640</v>
      </c>
      <c r="S69" s="72">
        <f t="shared" si="10"/>
        <v>4316</v>
      </c>
      <c r="T69" s="62"/>
    </row>
    <row r="70" spans="1:20" s="73" customFormat="1">
      <c r="A70" s="8"/>
      <c r="B70" s="8"/>
      <c r="C70" s="8"/>
      <c r="D70" s="45"/>
      <c r="E70" s="45"/>
      <c r="F70" s="49" t="s">
        <v>47</v>
      </c>
      <c r="G70" s="83">
        <v>10999</v>
      </c>
      <c r="H70" s="83">
        <f>508+650</f>
        <v>1158</v>
      </c>
      <c r="I70" s="83">
        <f t="shared" si="47"/>
        <v>1158</v>
      </c>
      <c r="J70" s="75">
        <f t="shared" si="40"/>
        <v>1158</v>
      </c>
      <c r="K70" s="35">
        <f>'1.03.'!M70</f>
        <v>508</v>
      </c>
      <c r="L70" s="35">
        <v>650</v>
      </c>
      <c r="M70" s="80">
        <f t="shared" si="41"/>
        <v>1158</v>
      </c>
      <c r="N70" s="35">
        <f t="shared" si="46"/>
        <v>0</v>
      </c>
      <c r="O70" s="70">
        <f t="shared" ref="O70:O73" si="48">M70/I70*100</f>
        <v>100</v>
      </c>
      <c r="P70" s="71">
        <f t="shared" si="8"/>
        <v>0</v>
      </c>
      <c r="Q70" s="35">
        <f t="shared" si="9"/>
        <v>0</v>
      </c>
      <c r="R70" s="72">
        <v>1103641</v>
      </c>
      <c r="S70" s="72">
        <f t="shared" si="10"/>
        <v>9841</v>
      </c>
      <c r="T70" s="62"/>
    </row>
    <row r="71" spans="1:20" s="73" customFormat="1">
      <c r="A71" s="8"/>
      <c r="B71" s="8"/>
      <c r="C71" s="8"/>
      <c r="D71" s="45"/>
      <c r="E71" s="45"/>
      <c r="F71" s="49" t="s">
        <v>48</v>
      </c>
      <c r="G71" s="83">
        <v>21109</v>
      </c>
      <c r="H71" s="83">
        <f>766+770</f>
        <v>1536</v>
      </c>
      <c r="I71" s="83">
        <f t="shared" si="47"/>
        <v>1536</v>
      </c>
      <c r="J71" s="75">
        <f t="shared" si="40"/>
        <v>1536</v>
      </c>
      <c r="K71" s="35">
        <f>'1.03.'!M71</f>
        <v>766</v>
      </c>
      <c r="L71" s="35">
        <v>770</v>
      </c>
      <c r="M71" s="80">
        <f t="shared" si="41"/>
        <v>1536</v>
      </c>
      <c r="N71" s="35">
        <f t="shared" si="46"/>
        <v>0</v>
      </c>
      <c r="O71" s="70">
        <f t="shared" si="48"/>
        <v>100</v>
      </c>
      <c r="P71" s="71">
        <f t="shared" si="8"/>
        <v>0</v>
      </c>
      <c r="Q71" s="35">
        <f t="shared" si="9"/>
        <v>0</v>
      </c>
      <c r="R71" s="72">
        <v>1103642</v>
      </c>
      <c r="S71" s="72">
        <f t="shared" si="10"/>
        <v>19573</v>
      </c>
      <c r="T71" s="62"/>
    </row>
    <row r="72" spans="1:20" s="73" customFormat="1">
      <c r="A72" s="8"/>
      <c r="B72" s="8"/>
      <c r="C72" s="8"/>
      <c r="D72" s="45"/>
      <c r="E72" s="45"/>
      <c r="F72" s="49" t="s">
        <v>12</v>
      </c>
      <c r="G72" s="83">
        <v>6554</v>
      </c>
      <c r="H72" s="83">
        <f>234+267</f>
        <v>501</v>
      </c>
      <c r="I72" s="83">
        <f t="shared" si="47"/>
        <v>501</v>
      </c>
      <c r="J72" s="75">
        <f t="shared" si="40"/>
        <v>501</v>
      </c>
      <c r="K72" s="35">
        <f>'1.03.'!M72</f>
        <v>234</v>
      </c>
      <c r="L72" s="35">
        <v>267</v>
      </c>
      <c r="M72" s="80">
        <f t="shared" si="41"/>
        <v>501</v>
      </c>
      <c r="N72" s="35">
        <f t="shared" si="46"/>
        <v>0</v>
      </c>
      <c r="O72" s="70">
        <f t="shared" si="48"/>
        <v>100</v>
      </c>
      <c r="P72" s="71">
        <f t="shared" si="8"/>
        <v>0</v>
      </c>
      <c r="Q72" s="35">
        <f t="shared" si="9"/>
        <v>0</v>
      </c>
      <c r="R72" s="72">
        <v>1103643</v>
      </c>
      <c r="S72" s="72">
        <f t="shared" si="10"/>
        <v>6053</v>
      </c>
      <c r="T72" s="62"/>
    </row>
    <row r="73" spans="1:20" s="73" customFormat="1">
      <c r="A73" s="8"/>
      <c r="B73" s="8"/>
      <c r="C73" s="8"/>
      <c r="D73" s="45"/>
      <c r="E73" s="45"/>
      <c r="F73" s="49" t="s">
        <v>11</v>
      </c>
      <c r="G73" s="83">
        <v>8000</v>
      </c>
      <c r="H73" s="83">
        <f>267+286</f>
        <v>553</v>
      </c>
      <c r="I73" s="83">
        <f t="shared" si="47"/>
        <v>553</v>
      </c>
      <c r="J73" s="75">
        <f t="shared" si="40"/>
        <v>553</v>
      </c>
      <c r="K73" s="35">
        <f>'1.03.'!M73</f>
        <v>267</v>
      </c>
      <c r="L73" s="35">
        <v>286</v>
      </c>
      <c r="M73" s="80">
        <f t="shared" si="41"/>
        <v>553</v>
      </c>
      <c r="N73" s="35">
        <f t="shared" si="46"/>
        <v>0</v>
      </c>
      <c r="O73" s="70">
        <f t="shared" si="48"/>
        <v>100</v>
      </c>
      <c r="P73" s="71">
        <f t="shared" si="8"/>
        <v>0</v>
      </c>
      <c r="Q73" s="35">
        <f t="shared" si="9"/>
        <v>0</v>
      </c>
      <c r="R73" s="72">
        <v>1103644</v>
      </c>
      <c r="S73" s="72">
        <f t="shared" si="10"/>
        <v>7447</v>
      </c>
      <c r="T73" s="62"/>
    </row>
    <row r="74" spans="1:20" s="73" customFormat="1">
      <c r="A74" s="8"/>
      <c r="B74" s="8"/>
      <c r="C74" s="8"/>
      <c r="D74" s="45"/>
      <c r="E74" s="45"/>
      <c r="F74" s="51" t="s">
        <v>58</v>
      </c>
      <c r="G74" s="82">
        <f>SUM(G75:G82)</f>
        <v>314536</v>
      </c>
      <c r="H74" s="82">
        <f t="shared" ref="H74:O74" si="49">SUM(H75:H82)</f>
        <v>314536</v>
      </c>
      <c r="I74" s="82">
        <f t="shared" si="49"/>
        <v>244478</v>
      </c>
      <c r="J74" s="108">
        <f t="shared" si="49"/>
        <v>244478</v>
      </c>
      <c r="K74" s="35">
        <f>'1.02.'!M74</f>
        <v>125000</v>
      </c>
      <c r="L74" s="82">
        <f t="shared" si="49"/>
        <v>119478</v>
      </c>
      <c r="M74" s="82">
        <f t="shared" si="49"/>
        <v>244478</v>
      </c>
      <c r="N74" s="82">
        <f t="shared" si="49"/>
        <v>0</v>
      </c>
      <c r="O74" s="82" t="e">
        <f t="shared" si="49"/>
        <v>#DIV/0!</v>
      </c>
      <c r="P74" s="71">
        <f t="shared" ref="P74:P147" si="50">J74-M74</f>
        <v>0</v>
      </c>
      <c r="Q74" s="35">
        <f t="shared" ref="Q74:Q147" si="51">H74-J74</f>
        <v>70058</v>
      </c>
      <c r="R74" s="72">
        <v>1103645</v>
      </c>
      <c r="S74" s="72">
        <f t="shared" ref="S74:S147" si="52">G74-M74</f>
        <v>70058</v>
      </c>
      <c r="T74" s="62"/>
    </row>
    <row r="75" spans="1:20" s="73" customFormat="1">
      <c r="A75" s="8"/>
      <c r="B75" s="8"/>
      <c r="C75" s="8"/>
      <c r="D75" s="45"/>
      <c r="E75" s="45"/>
      <c r="F75" s="47" t="s">
        <v>46</v>
      </c>
      <c r="G75" s="83"/>
      <c r="H75" s="83"/>
      <c r="I75" s="83"/>
      <c r="J75" s="75">
        <f t="shared" ref="J75:J82" si="53">M75</f>
        <v>0</v>
      </c>
      <c r="K75" s="35">
        <f>'1.03.'!M75</f>
        <v>0</v>
      </c>
      <c r="L75" s="35"/>
      <c r="M75" s="80">
        <f t="shared" ref="M75:M82" si="54">K75+L75</f>
        <v>0</v>
      </c>
      <c r="N75" s="35">
        <f t="shared" ref="N75:N82" si="55">I75-M75</f>
        <v>0</v>
      </c>
      <c r="O75" s="70" t="e">
        <f t="shared" ref="O75:O82" si="56">M75/I75*100</f>
        <v>#DIV/0!</v>
      </c>
      <c r="P75" s="71">
        <f t="shared" si="50"/>
        <v>0</v>
      </c>
      <c r="Q75" s="35">
        <f t="shared" si="51"/>
        <v>0</v>
      </c>
      <c r="R75" s="72">
        <v>1103646</v>
      </c>
      <c r="S75" s="72">
        <f t="shared" si="52"/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8</v>
      </c>
      <c r="G76" s="83"/>
      <c r="H76" s="83"/>
      <c r="I76" s="83"/>
      <c r="J76" s="75">
        <f t="shared" si="53"/>
        <v>0</v>
      </c>
      <c r="K76" s="35">
        <f>'1.03.'!M76</f>
        <v>0</v>
      </c>
      <c r="L76" s="35"/>
      <c r="M76" s="80">
        <f t="shared" si="54"/>
        <v>0</v>
      </c>
      <c r="N76" s="35">
        <f t="shared" si="55"/>
        <v>0</v>
      </c>
      <c r="O76" s="70" t="e">
        <f t="shared" si="56"/>
        <v>#DIV/0!</v>
      </c>
      <c r="P76" s="71">
        <f t="shared" si="50"/>
        <v>0</v>
      </c>
      <c r="Q76" s="35">
        <f t="shared" si="51"/>
        <v>0</v>
      </c>
      <c r="R76" s="72">
        <v>1103647</v>
      </c>
      <c r="S76" s="72">
        <f t="shared" si="52"/>
        <v>0</v>
      </c>
      <c r="T76" s="62"/>
    </row>
    <row r="77" spans="1:20" s="73" customFormat="1">
      <c r="A77" s="8"/>
      <c r="B77" s="8"/>
      <c r="C77" s="8"/>
      <c r="D77" s="45"/>
      <c r="E77" s="45"/>
      <c r="F77" s="49" t="s">
        <v>9</v>
      </c>
      <c r="G77" s="83"/>
      <c r="H77" s="83"/>
      <c r="I77" s="83"/>
      <c r="J77" s="75">
        <f t="shared" si="53"/>
        <v>0</v>
      </c>
      <c r="K77" s="35">
        <f>'1.03.'!M77</f>
        <v>0</v>
      </c>
      <c r="L77" s="35"/>
      <c r="M77" s="80">
        <f t="shared" si="54"/>
        <v>0</v>
      </c>
      <c r="N77" s="35">
        <f t="shared" si="55"/>
        <v>0</v>
      </c>
      <c r="O77" s="70" t="e">
        <f t="shared" si="56"/>
        <v>#DIV/0!</v>
      </c>
      <c r="P77" s="71">
        <f t="shared" si="50"/>
        <v>0</v>
      </c>
      <c r="Q77" s="35">
        <f t="shared" si="51"/>
        <v>0</v>
      </c>
      <c r="R77" s="72">
        <v>1103648</v>
      </c>
      <c r="S77" s="72">
        <f t="shared" si="52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10</v>
      </c>
      <c r="G78" s="83"/>
      <c r="H78" s="83"/>
      <c r="I78" s="83"/>
      <c r="J78" s="75">
        <f t="shared" si="53"/>
        <v>0</v>
      </c>
      <c r="K78" s="35">
        <f>'1.03.'!M78</f>
        <v>0</v>
      </c>
      <c r="L78" s="35"/>
      <c r="M78" s="80">
        <f t="shared" si="54"/>
        <v>0</v>
      </c>
      <c r="N78" s="35">
        <f t="shared" si="55"/>
        <v>0</v>
      </c>
      <c r="O78" s="70" t="e">
        <f t="shared" si="56"/>
        <v>#DIV/0!</v>
      </c>
      <c r="P78" s="71">
        <f t="shared" si="50"/>
        <v>0</v>
      </c>
      <c r="Q78" s="35">
        <f t="shared" si="51"/>
        <v>0</v>
      </c>
      <c r="R78" s="72">
        <v>1103649</v>
      </c>
      <c r="S78" s="72">
        <f t="shared" si="52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47</v>
      </c>
      <c r="G79" s="83"/>
      <c r="H79" s="83"/>
      <c r="I79" s="83"/>
      <c r="J79" s="75">
        <f t="shared" si="53"/>
        <v>0</v>
      </c>
      <c r="K79" s="35">
        <f>'1.03.'!M79</f>
        <v>0</v>
      </c>
      <c r="L79" s="35"/>
      <c r="M79" s="80">
        <f t="shared" si="54"/>
        <v>0</v>
      </c>
      <c r="N79" s="35">
        <f t="shared" si="55"/>
        <v>0</v>
      </c>
      <c r="O79" s="70" t="e">
        <f t="shared" si="56"/>
        <v>#DIV/0!</v>
      </c>
      <c r="P79" s="71">
        <f t="shared" si="50"/>
        <v>0</v>
      </c>
      <c r="Q79" s="35">
        <f t="shared" si="51"/>
        <v>0</v>
      </c>
      <c r="R79" s="72">
        <v>1103650</v>
      </c>
      <c r="S79" s="72">
        <f t="shared" si="52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48</v>
      </c>
      <c r="G80" s="83"/>
      <c r="H80" s="83"/>
      <c r="I80" s="83"/>
      <c r="J80" s="75">
        <f t="shared" si="53"/>
        <v>0</v>
      </c>
      <c r="K80" s="35">
        <f>'1.03.'!M80</f>
        <v>0</v>
      </c>
      <c r="L80" s="35"/>
      <c r="M80" s="80">
        <f t="shared" si="54"/>
        <v>0</v>
      </c>
      <c r="N80" s="35">
        <f t="shared" si="55"/>
        <v>0</v>
      </c>
      <c r="O80" s="70" t="e">
        <f t="shared" si="56"/>
        <v>#DIV/0!</v>
      </c>
      <c r="P80" s="71">
        <f t="shared" si="50"/>
        <v>0</v>
      </c>
      <c r="Q80" s="35">
        <f t="shared" si="51"/>
        <v>0</v>
      </c>
      <c r="R80" s="72">
        <v>1103651</v>
      </c>
      <c r="S80" s="72">
        <f t="shared" si="52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12</v>
      </c>
      <c r="G81" s="83">
        <v>314536</v>
      </c>
      <c r="H81" s="83">
        <v>314536</v>
      </c>
      <c r="I81" s="83">
        <f>125000+119478</f>
        <v>244478</v>
      </c>
      <c r="J81" s="75">
        <f t="shared" si="53"/>
        <v>244478</v>
      </c>
      <c r="K81" s="35">
        <f>'1.03.'!M81</f>
        <v>125000</v>
      </c>
      <c r="L81" s="35">
        <v>119478</v>
      </c>
      <c r="M81" s="80">
        <f t="shared" si="54"/>
        <v>244478</v>
      </c>
      <c r="N81" s="35">
        <f t="shared" si="55"/>
        <v>0</v>
      </c>
      <c r="O81" s="70">
        <f t="shared" si="56"/>
        <v>100</v>
      </c>
      <c r="P81" s="71">
        <f t="shared" si="50"/>
        <v>0</v>
      </c>
      <c r="Q81" s="35">
        <f t="shared" si="51"/>
        <v>70058</v>
      </c>
      <c r="R81" s="72">
        <v>1103652</v>
      </c>
      <c r="S81" s="72">
        <f t="shared" si="52"/>
        <v>70058</v>
      </c>
      <c r="T81" s="62"/>
    </row>
    <row r="82" spans="1:20" s="73" customFormat="1">
      <c r="A82" s="8"/>
      <c r="B82" s="8"/>
      <c r="C82" s="8"/>
      <c r="D82" s="45"/>
      <c r="E82" s="45"/>
      <c r="F82" s="49" t="s">
        <v>11</v>
      </c>
      <c r="G82" s="83"/>
      <c r="H82" s="83"/>
      <c r="I82" s="83"/>
      <c r="J82" s="75">
        <f t="shared" si="53"/>
        <v>0</v>
      </c>
      <c r="K82" s="35">
        <f>'1.03.'!M82</f>
        <v>0</v>
      </c>
      <c r="L82" s="35"/>
      <c r="M82" s="80">
        <f t="shared" si="54"/>
        <v>0</v>
      </c>
      <c r="N82" s="35">
        <f t="shared" si="55"/>
        <v>0</v>
      </c>
      <c r="O82" s="70" t="e">
        <f t="shared" si="56"/>
        <v>#DIV/0!</v>
      </c>
      <c r="P82" s="71">
        <f t="shared" si="50"/>
        <v>0</v>
      </c>
      <c r="Q82" s="35">
        <f t="shared" si="51"/>
        <v>0</v>
      </c>
      <c r="R82" s="72">
        <v>1103653</v>
      </c>
      <c r="S82" s="72">
        <f t="shared" si="52"/>
        <v>0</v>
      </c>
      <c r="T82" s="62"/>
    </row>
    <row r="83" spans="1:20" s="73" customFormat="1" ht="38.25">
      <c r="A83" s="8"/>
      <c r="B83" s="8"/>
      <c r="C83" s="8"/>
      <c r="D83" s="45"/>
      <c r="E83" s="45"/>
      <c r="F83" s="51" t="s">
        <v>59</v>
      </c>
      <c r="G83" s="82">
        <f>SUM(G84:G91)</f>
        <v>293942</v>
      </c>
      <c r="H83" s="82">
        <f t="shared" ref="H83:O83" si="57">SUM(H84:H91)</f>
        <v>64601</v>
      </c>
      <c r="I83" s="82">
        <f t="shared" si="57"/>
        <v>64601</v>
      </c>
      <c r="J83" s="108">
        <f t="shared" si="57"/>
        <v>64601</v>
      </c>
      <c r="K83" s="35">
        <f>'1.02.'!M83</f>
        <v>0</v>
      </c>
      <c r="L83" s="82">
        <f t="shared" si="57"/>
        <v>29803</v>
      </c>
      <c r="M83" s="82">
        <f t="shared" si="57"/>
        <v>64601</v>
      </c>
      <c r="N83" s="82">
        <f t="shared" si="57"/>
        <v>0</v>
      </c>
      <c r="O83" s="82">
        <f t="shared" si="57"/>
        <v>800</v>
      </c>
      <c r="P83" s="71">
        <f t="shared" si="50"/>
        <v>0</v>
      </c>
      <c r="Q83" s="35">
        <f t="shared" si="51"/>
        <v>0</v>
      </c>
      <c r="R83" s="72">
        <v>1103654</v>
      </c>
      <c r="S83" s="72">
        <f t="shared" si="52"/>
        <v>229341</v>
      </c>
      <c r="T83" s="62"/>
    </row>
    <row r="84" spans="1:20" s="73" customFormat="1">
      <c r="A84" s="8"/>
      <c r="B84" s="8"/>
      <c r="C84" s="8"/>
      <c r="D84" s="45"/>
      <c r="E84" s="45"/>
      <c r="F84" s="47" t="s">
        <v>46</v>
      </c>
      <c r="G84" s="83">
        <v>188942</v>
      </c>
      <c r="H84" s="83">
        <f>20908+10000</f>
        <v>30908</v>
      </c>
      <c r="I84" s="83">
        <f>H84</f>
        <v>30908</v>
      </c>
      <c r="J84" s="75">
        <f t="shared" ref="J84:J91" si="58">M84</f>
        <v>30908</v>
      </c>
      <c r="K84" s="35">
        <f>'1.03.'!M84</f>
        <v>20908</v>
      </c>
      <c r="L84" s="35">
        <v>10000</v>
      </c>
      <c r="M84" s="80">
        <f t="shared" ref="M84:M91" si="59">K84+L84</f>
        <v>30908</v>
      </c>
      <c r="N84" s="35">
        <f t="shared" ref="N84:N91" si="60">I84-M84</f>
        <v>0</v>
      </c>
      <c r="O84" s="70">
        <f t="shared" ref="O84:O157" si="61">M84/I84*100</f>
        <v>100</v>
      </c>
      <c r="P84" s="71">
        <f t="shared" si="50"/>
        <v>0</v>
      </c>
      <c r="Q84" s="35">
        <f t="shared" si="51"/>
        <v>0</v>
      </c>
      <c r="R84" s="72">
        <v>1103655</v>
      </c>
      <c r="S84" s="72">
        <f t="shared" si="52"/>
        <v>158034</v>
      </c>
      <c r="T84" s="62"/>
    </row>
    <row r="85" spans="1:20" s="73" customFormat="1">
      <c r="A85" s="8"/>
      <c r="B85" s="8"/>
      <c r="C85" s="8"/>
      <c r="D85" s="45"/>
      <c r="E85" s="45"/>
      <c r="F85" s="47" t="s">
        <v>8</v>
      </c>
      <c r="G85" s="83">
        <v>15000</v>
      </c>
      <c r="H85" s="83">
        <v>6986</v>
      </c>
      <c r="I85" s="83">
        <f t="shared" ref="I85:I91" si="62">H85</f>
        <v>6986</v>
      </c>
      <c r="J85" s="75">
        <f t="shared" si="58"/>
        <v>6986</v>
      </c>
      <c r="K85" s="35">
        <f>'1.03.'!M85</f>
        <v>0</v>
      </c>
      <c r="L85" s="35">
        <v>6986</v>
      </c>
      <c r="M85" s="80">
        <f t="shared" si="59"/>
        <v>6986</v>
      </c>
      <c r="N85" s="35">
        <f t="shared" si="60"/>
        <v>0</v>
      </c>
      <c r="O85" s="70">
        <f t="shared" si="61"/>
        <v>100</v>
      </c>
      <c r="P85" s="71">
        <f t="shared" si="50"/>
        <v>0</v>
      </c>
      <c r="Q85" s="35">
        <f t="shared" si="51"/>
        <v>0</v>
      </c>
      <c r="R85" s="72">
        <v>1103656</v>
      </c>
      <c r="S85" s="72">
        <f t="shared" si="52"/>
        <v>8014</v>
      </c>
      <c r="T85" s="62"/>
    </row>
    <row r="86" spans="1:20" s="73" customFormat="1">
      <c r="A86" s="8"/>
      <c r="B86" s="8"/>
      <c r="C86" s="8"/>
      <c r="D86" s="45"/>
      <c r="E86" s="45"/>
      <c r="F86" s="49" t="s">
        <v>9</v>
      </c>
      <c r="G86" s="83">
        <v>15000</v>
      </c>
      <c r="H86" s="83">
        <f>3950+6105</f>
        <v>10055</v>
      </c>
      <c r="I86" s="83">
        <f t="shared" si="62"/>
        <v>10055</v>
      </c>
      <c r="J86" s="75">
        <f t="shared" si="58"/>
        <v>10055</v>
      </c>
      <c r="K86" s="35">
        <f>'1.03.'!M86</f>
        <v>3950</v>
      </c>
      <c r="L86" s="35">
        <v>6105</v>
      </c>
      <c r="M86" s="80">
        <f t="shared" si="59"/>
        <v>10055</v>
      </c>
      <c r="N86" s="35">
        <f t="shared" si="60"/>
        <v>0</v>
      </c>
      <c r="O86" s="70">
        <f t="shared" si="61"/>
        <v>100</v>
      </c>
      <c r="P86" s="71">
        <f t="shared" si="50"/>
        <v>0</v>
      </c>
      <c r="Q86" s="35">
        <f t="shared" si="51"/>
        <v>0</v>
      </c>
      <c r="R86" s="72">
        <v>1103657</v>
      </c>
      <c r="S86" s="72">
        <f t="shared" si="52"/>
        <v>4945</v>
      </c>
      <c r="T86" s="62"/>
    </row>
    <row r="87" spans="1:20" s="73" customFormat="1">
      <c r="A87" s="8"/>
      <c r="B87" s="8"/>
      <c r="C87" s="8"/>
      <c r="D87" s="45"/>
      <c r="E87" s="45"/>
      <c r="F87" s="49" t="s">
        <v>10</v>
      </c>
      <c r="G87" s="83">
        <v>15000</v>
      </c>
      <c r="H87" s="83">
        <v>1000</v>
      </c>
      <c r="I87" s="83">
        <f t="shared" si="62"/>
        <v>1000</v>
      </c>
      <c r="J87" s="75">
        <f t="shared" si="58"/>
        <v>1000</v>
      </c>
      <c r="K87" s="35">
        <f>'1.03.'!M87</f>
        <v>0</v>
      </c>
      <c r="L87" s="35">
        <v>1000</v>
      </c>
      <c r="M87" s="80">
        <f t="shared" si="59"/>
        <v>1000</v>
      </c>
      <c r="N87" s="35">
        <f t="shared" si="60"/>
        <v>0</v>
      </c>
      <c r="O87" s="70">
        <f t="shared" si="61"/>
        <v>100</v>
      </c>
      <c r="P87" s="71">
        <f t="shared" si="50"/>
        <v>0</v>
      </c>
      <c r="Q87" s="35">
        <f t="shared" si="51"/>
        <v>0</v>
      </c>
      <c r="R87" s="72">
        <v>1103658</v>
      </c>
      <c r="S87" s="72">
        <f t="shared" si="52"/>
        <v>14000</v>
      </c>
      <c r="T87" s="62"/>
    </row>
    <row r="88" spans="1:20" s="73" customFormat="1">
      <c r="A88" s="8"/>
      <c r="B88" s="8"/>
      <c r="C88" s="8"/>
      <c r="D88" s="45"/>
      <c r="E88" s="45"/>
      <c r="F88" s="49" t="s">
        <v>47</v>
      </c>
      <c r="G88" s="83">
        <v>15000</v>
      </c>
      <c r="H88" s="83">
        <f>2500+1250</f>
        <v>3750</v>
      </c>
      <c r="I88" s="83">
        <f t="shared" si="62"/>
        <v>3750</v>
      </c>
      <c r="J88" s="75">
        <f t="shared" si="58"/>
        <v>3750</v>
      </c>
      <c r="K88" s="35">
        <f>'1.03.'!M88</f>
        <v>2500</v>
      </c>
      <c r="L88" s="35">
        <v>1250</v>
      </c>
      <c r="M88" s="80">
        <f t="shared" si="59"/>
        <v>3750</v>
      </c>
      <c r="N88" s="35">
        <f t="shared" si="60"/>
        <v>0</v>
      </c>
      <c r="O88" s="70">
        <f t="shared" si="61"/>
        <v>100</v>
      </c>
      <c r="P88" s="71">
        <f t="shared" si="50"/>
        <v>0</v>
      </c>
      <c r="Q88" s="35">
        <f t="shared" si="51"/>
        <v>0</v>
      </c>
      <c r="R88" s="72">
        <v>1103659</v>
      </c>
      <c r="S88" s="72">
        <f t="shared" si="52"/>
        <v>11250</v>
      </c>
      <c r="T88" s="62"/>
    </row>
    <row r="89" spans="1:20" s="73" customFormat="1">
      <c r="A89" s="8"/>
      <c r="B89" s="8"/>
      <c r="C89" s="8"/>
      <c r="D89" s="45"/>
      <c r="E89" s="45"/>
      <c r="F89" s="49" t="s">
        <v>48</v>
      </c>
      <c r="G89" s="83">
        <v>15000</v>
      </c>
      <c r="H89" s="83">
        <v>5000</v>
      </c>
      <c r="I89" s="83">
        <f t="shared" si="62"/>
        <v>5000</v>
      </c>
      <c r="J89" s="75">
        <f t="shared" si="58"/>
        <v>5000</v>
      </c>
      <c r="K89" s="35">
        <f>'1.03.'!M89</f>
        <v>5000</v>
      </c>
      <c r="L89" s="35"/>
      <c r="M89" s="80">
        <f t="shared" si="59"/>
        <v>5000</v>
      </c>
      <c r="N89" s="35">
        <f t="shared" si="60"/>
        <v>0</v>
      </c>
      <c r="O89" s="70">
        <f t="shared" si="61"/>
        <v>100</v>
      </c>
      <c r="P89" s="71">
        <f t="shared" si="50"/>
        <v>0</v>
      </c>
      <c r="Q89" s="35">
        <f t="shared" si="51"/>
        <v>0</v>
      </c>
      <c r="R89" s="72">
        <v>1103660</v>
      </c>
      <c r="S89" s="72">
        <f t="shared" si="52"/>
        <v>10000</v>
      </c>
      <c r="T89" s="62"/>
    </row>
    <row r="90" spans="1:20" s="73" customFormat="1">
      <c r="A90" s="8"/>
      <c r="B90" s="8"/>
      <c r="C90" s="8"/>
      <c r="D90" s="45"/>
      <c r="E90" s="45"/>
      <c r="F90" s="49" t="s">
        <v>12</v>
      </c>
      <c r="G90" s="83">
        <v>15000</v>
      </c>
      <c r="H90" s="83">
        <f>1000+1000</f>
        <v>2000</v>
      </c>
      <c r="I90" s="83">
        <f t="shared" si="62"/>
        <v>2000</v>
      </c>
      <c r="J90" s="75">
        <f t="shared" si="58"/>
        <v>2000</v>
      </c>
      <c r="K90" s="35">
        <f>'1.03.'!M90</f>
        <v>1000</v>
      </c>
      <c r="L90" s="35">
        <v>1000</v>
      </c>
      <c r="M90" s="80">
        <f t="shared" si="59"/>
        <v>2000</v>
      </c>
      <c r="N90" s="35">
        <f t="shared" si="60"/>
        <v>0</v>
      </c>
      <c r="O90" s="70">
        <f t="shared" si="61"/>
        <v>100</v>
      </c>
      <c r="P90" s="71">
        <f t="shared" si="50"/>
        <v>0</v>
      </c>
      <c r="Q90" s="35">
        <f t="shared" si="51"/>
        <v>0</v>
      </c>
      <c r="R90" s="72">
        <v>1103661</v>
      </c>
      <c r="S90" s="72">
        <f t="shared" si="52"/>
        <v>13000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11</v>
      </c>
      <c r="G91" s="83">
        <v>15000</v>
      </c>
      <c r="H91" s="83">
        <f>1440+3462</f>
        <v>4902</v>
      </c>
      <c r="I91" s="83">
        <f t="shared" si="62"/>
        <v>4902</v>
      </c>
      <c r="J91" s="75">
        <f t="shared" si="58"/>
        <v>4902</v>
      </c>
      <c r="K91" s="35">
        <f>'1.03.'!M91</f>
        <v>1440</v>
      </c>
      <c r="L91" s="35">
        <v>3462</v>
      </c>
      <c r="M91" s="80">
        <f t="shared" si="59"/>
        <v>4902</v>
      </c>
      <c r="N91" s="35">
        <f t="shared" si="60"/>
        <v>0</v>
      </c>
      <c r="O91" s="70">
        <f t="shared" si="61"/>
        <v>100</v>
      </c>
      <c r="P91" s="71">
        <f t="shared" si="50"/>
        <v>0</v>
      </c>
      <c r="Q91" s="35">
        <f t="shared" si="51"/>
        <v>0</v>
      </c>
      <c r="R91" s="72">
        <v>1103662</v>
      </c>
      <c r="S91" s="72">
        <f t="shared" si="52"/>
        <v>10098</v>
      </c>
      <c r="T91" s="62"/>
    </row>
    <row r="92" spans="1:20" s="73" customFormat="1">
      <c r="A92" s="8"/>
      <c r="B92" s="8"/>
      <c r="C92" s="8"/>
      <c r="D92" s="45"/>
      <c r="E92" s="45"/>
      <c r="F92" s="51" t="s">
        <v>65</v>
      </c>
      <c r="G92" s="82">
        <f>SUM(G93:G100)</f>
        <v>130000</v>
      </c>
      <c r="H92" s="82">
        <f t="shared" ref="H92:J92" si="63">SUM(H93:H100)</f>
        <v>0</v>
      </c>
      <c r="I92" s="82">
        <f t="shared" si="63"/>
        <v>0</v>
      </c>
      <c r="J92" s="108">
        <f t="shared" si="63"/>
        <v>0</v>
      </c>
      <c r="K92" s="35">
        <f>'1.02.'!M92</f>
        <v>0</v>
      </c>
      <c r="L92" s="82">
        <f t="shared" ref="L92:O92" si="64">SUM(L93:L100)</f>
        <v>0</v>
      </c>
      <c r="M92" s="82">
        <f t="shared" si="64"/>
        <v>0</v>
      </c>
      <c r="N92" s="82">
        <f t="shared" si="64"/>
        <v>0</v>
      </c>
      <c r="O92" s="82" t="e">
        <f t="shared" si="64"/>
        <v>#DIV/0!</v>
      </c>
      <c r="P92" s="71">
        <f t="shared" ref="P92:P100" si="65">J92-M92</f>
        <v>0</v>
      </c>
      <c r="Q92" s="35">
        <f t="shared" ref="Q92:Q100" si="66">H92-J92</f>
        <v>0</v>
      </c>
      <c r="R92" s="72">
        <v>1103654</v>
      </c>
      <c r="S92" s="72">
        <f t="shared" ref="S92:S100" si="67">G92-M92</f>
        <v>130000</v>
      </c>
      <c r="T92" s="62"/>
    </row>
    <row r="93" spans="1:20" s="73" customFormat="1">
      <c r="A93" s="8"/>
      <c r="B93" s="8"/>
      <c r="C93" s="8"/>
      <c r="D93" s="45"/>
      <c r="E93" s="45"/>
      <c r="F93" s="47" t="s">
        <v>46</v>
      </c>
      <c r="G93" s="48">
        <v>86229</v>
      </c>
      <c r="H93" s="83"/>
      <c r="I93" s="83"/>
      <c r="J93" s="75">
        <f t="shared" ref="J93:J100" si="68">M93</f>
        <v>0</v>
      </c>
      <c r="K93" s="35"/>
      <c r="L93" s="35"/>
      <c r="M93" s="80">
        <f t="shared" ref="M93:M100" si="69">K93+L93</f>
        <v>0</v>
      </c>
      <c r="N93" s="35">
        <f t="shared" ref="N93:N100" si="70">I93-M93</f>
        <v>0</v>
      </c>
      <c r="O93" s="70" t="e">
        <f t="shared" ref="O93:O100" si="71">M93/I93*100</f>
        <v>#DIV/0!</v>
      </c>
      <c r="P93" s="71">
        <f t="shared" si="65"/>
        <v>0</v>
      </c>
      <c r="Q93" s="35">
        <f t="shared" si="66"/>
        <v>0</v>
      </c>
      <c r="R93" s="72">
        <v>1103655</v>
      </c>
      <c r="S93" s="72">
        <f t="shared" si="67"/>
        <v>86229</v>
      </c>
      <c r="T93" s="62"/>
    </row>
    <row r="94" spans="1:20" s="73" customFormat="1">
      <c r="A94" s="8"/>
      <c r="B94" s="8"/>
      <c r="C94" s="8"/>
      <c r="D94" s="45"/>
      <c r="E94" s="45"/>
      <c r="F94" s="47" t="s">
        <v>8</v>
      </c>
      <c r="G94" s="48">
        <v>4898</v>
      </c>
      <c r="H94" s="83"/>
      <c r="I94" s="83"/>
      <c r="J94" s="75">
        <f t="shared" si="68"/>
        <v>0</v>
      </c>
      <c r="K94" s="35"/>
      <c r="L94" s="35"/>
      <c r="M94" s="80">
        <f t="shared" si="69"/>
        <v>0</v>
      </c>
      <c r="N94" s="35">
        <f t="shared" si="70"/>
        <v>0</v>
      </c>
      <c r="O94" s="70" t="e">
        <f t="shared" si="71"/>
        <v>#DIV/0!</v>
      </c>
      <c r="P94" s="71">
        <f t="shared" si="65"/>
        <v>0</v>
      </c>
      <c r="Q94" s="35">
        <f t="shared" si="66"/>
        <v>0</v>
      </c>
      <c r="R94" s="72">
        <v>1103656</v>
      </c>
      <c r="S94" s="72">
        <f t="shared" si="67"/>
        <v>4898</v>
      </c>
      <c r="T94" s="62"/>
    </row>
    <row r="95" spans="1:20" s="73" customFormat="1">
      <c r="A95" s="8"/>
      <c r="B95" s="8"/>
      <c r="C95" s="8"/>
      <c r="D95" s="45"/>
      <c r="E95" s="45"/>
      <c r="F95" s="49" t="s">
        <v>9</v>
      </c>
      <c r="G95" s="48">
        <v>3290</v>
      </c>
      <c r="H95" s="83"/>
      <c r="I95" s="83"/>
      <c r="J95" s="75">
        <f t="shared" si="68"/>
        <v>0</v>
      </c>
      <c r="K95" s="35"/>
      <c r="L95" s="35"/>
      <c r="M95" s="80">
        <f t="shared" si="69"/>
        <v>0</v>
      </c>
      <c r="N95" s="35">
        <f t="shared" si="70"/>
        <v>0</v>
      </c>
      <c r="O95" s="70" t="e">
        <f t="shared" si="71"/>
        <v>#DIV/0!</v>
      </c>
      <c r="P95" s="71">
        <f t="shared" si="65"/>
        <v>0</v>
      </c>
      <c r="Q95" s="35">
        <f t="shared" si="66"/>
        <v>0</v>
      </c>
      <c r="R95" s="72">
        <v>1103657</v>
      </c>
      <c r="S95" s="72">
        <f t="shared" si="67"/>
        <v>3290</v>
      </c>
      <c r="T95" s="62"/>
    </row>
    <row r="96" spans="1:20" s="73" customFormat="1">
      <c r="A96" s="8"/>
      <c r="B96" s="8"/>
      <c r="C96" s="8"/>
      <c r="D96" s="45"/>
      <c r="E96" s="45"/>
      <c r="F96" s="49" t="s">
        <v>10</v>
      </c>
      <c r="G96" s="48">
        <v>3918</v>
      </c>
      <c r="H96" s="83"/>
      <c r="I96" s="83"/>
      <c r="J96" s="75">
        <f t="shared" si="68"/>
        <v>0</v>
      </c>
      <c r="K96" s="35"/>
      <c r="L96" s="35"/>
      <c r="M96" s="80">
        <f t="shared" si="69"/>
        <v>0</v>
      </c>
      <c r="N96" s="35">
        <f t="shared" si="70"/>
        <v>0</v>
      </c>
      <c r="O96" s="70" t="e">
        <f t="shared" si="71"/>
        <v>#DIV/0!</v>
      </c>
      <c r="P96" s="71">
        <f t="shared" si="65"/>
        <v>0</v>
      </c>
      <c r="Q96" s="35">
        <f t="shared" si="66"/>
        <v>0</v>
      </c>
      <c r="R96" s="72">
        <v>1103658</v>
      </c>
      <c r="S96" s="72">
        <f t="shared" si="67"/>
        <v>3918</v>
      </c>
      <c r="T96" s="62"/>
    </row>
    <row r="97" spans="1:20" s="73" customFormat="1">
      <c r="A97" s="8"/>
      <c r="B97" s="8"/>
      <c r="C97" s="8"/>
      <c r="D97" s="45"/>
      <c r="E97" s="45"/>
      <c r="F97" s="49" t="s">
        <v>47</v>
      </c>
      <c r="G97" s="48">
        <v>4017</v>
      </c>
      <c r="H97" s="83"/>
      <c r="I97" s="83"/>
      <c r="J97" s="75">
        <f t="shared" si="68"/>
        <v>0</v>
      </c>
      <c r="K97" s="35"/>
      <c r="L97" s="35"/>
      <c r="M97" s="80">
        <f t="shared" si="69"/>
        <v>0</v>
      </c>
      <c r="N97" s="35">
        <f t="shared" si="70"/>
        <v>0</v>
      </c>
      <c r="O97" s="70" t="e">
        <f t="shared" si="71"/>
        <v>#DIV/0!</v>
      </c>
      <c r="P97" s="71">
        <f t="shared" si="65"/>
        <v>0</v>
      </c>
      <c r="Q97" s="35">
        <f t="shared" si="66"/>
        <v>0</v>
      </c>
      <c r="R97" s="72">
        <v>1103659</v>
      </c>
      <c r="S97" s="72">
        <f t="shared" si="67"/>
        <v>4017</v>
      </c>
      <c r="T97" s="62"/>
    </row>
    <row r="98" spans="1:20" s="73" customFormat="1">
      <c r="A98" s="8"/>
      <c r="B98" s="8"/>
      <c r="C98" s="8"/>
      <c r="D98" s="45"/>
      <c r="E98" s="45"/>
      <c r="F98" s="49" t="s">
        <v>48</v>
      </c>
      <c r="G98" s="48">
        <v>12606</v>
      </c>
      <c r="H98" s="83"/>
      <c r="I98" s="83"/>
      <c r="J98" s="75">
        <f t="shared" si="68"/>
        <v>0</v>
      </c>
      <c r="K98" s="35"/>
      <c r="L98" s="35"/>
      <c r="M98" s="80">
        <f t="shared" si="69"/>
        <v>0</v>
      </c>
      <c r="N98" s="35">
        <f t="shared" si="70"/>
        <v>0</v>
      </c>
      <c r="O98" s="70" t="e">
        <f t="shared" si="71"/>
        <v>#DIV/0!</v>
      </c>
      <c r="P98" s="71">
        <f t="shared" si="65"/>
        <v>0</v>
      </c>
      <c r="Q98" s="35">
        <f t="shared" si="66"/>
        <v>0</v>
      </c>
      <c r="R98" s="72">
        <v>1103660</v>
      </c>
      <c r="S98" s="72">
        <f t="shared" si="67"/>
        <v>12606</v>
      </c>
      <c r="T98" s="62"/>
    </row>
    <row r="99" spans="1:20" s="73" customFormat="1">
      <c r="A99" s="8"/>
      <c r="B99" s="8"/>
      <c r="C99" s="8"/>
      <c r="D99" s="45"/>
      <c r="E99" s="45"/>
      <c r="F99" s="49" t="s">
        <v>12</v>
      </c>
      <c r="G99" s="48">
        <v>9417</v>
      </c>
      <c r="H99" s="83"/>
      <c r="I99" s="83"/>
      <c r="J99" s="75">
        <f t="shared" si="68"/>
        <v>0</v>
      </c>
      <c r="K99" s="35"/>
      <c r="L99" s="35"/>
      <c r="M99" s="80">
        <f t="shared" si="69"/>
        <v>0</v>
      </c>
      <c r="N99" s="35">
        <f t="shared" si="70"/>
        <v>0</v>
      </c>
      <c r="O99" s="70" t="e">
        <f t="shared" si="71"/>
        <v>#DIV/0!</v>
      </c>
      <c r="P99" s="71">
        <f t="shared" si="65"/>
        <v>0</v>
      </c>
      <c r="Q99" s="35">
        <f t="shared" si="66"/>
        <v>0</v>
      </c>
      <c r="R99" s="72">
        <v>1103661</v>
      </c>
      <c r="S99" s="72">
        <f t="shared" si="67"/>
        <v>9417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11</v>
      </c>
      <c r="G100" s="48">
        <v>5625</v>
      </c>
      <c r="H100" s="83"/>
      <c r="I100" s="83"/>
      <c r="J100" s="75">
        <f t="shared" si="68"/>
        <v>0</v>
      </c>
      <c r="K100" s="35"/>
      <c r="L100" s="35"/>
      <c r="M100" s="80">
        <f t="shared" si="69"/>
        <v>0</v>
      </c>
      <c r="N100" s="35">
        <f t="shared" si="70"/>
        <v>0</v>
      </c>
      <c r="O100" s="70" t="e">
        <f t="shared" si="71"/>
        <v>#DIV/0!</v>
      </c>
      <c r="P100" s="71">
        <f t="shared" si="65"/>
        <v>0</v>
      </c>
      <c r="Q100" s="35">
        <f t="shared" si="66"/>
        <v>0</v>
      </c>
      <c r="R100" s="72">
        <v>1103662</v>
      </c>
      <c r="S100" s="72">
        <f t="shared" si="67"/>
        <v>5625</v>
      </c>
      <c r="T100" s="62"/>
    </row>
    <row r="101" spans="1:20" s="73" customFormat="1" ht="25.5">
      <c r="A101" s="9"/>
      <c r="B101" s="9"/>
      <c r="C101" s="8" t="s">
        <v>13</v>
      </c>
      <c r="D101" s="69"/>
      <c r="E101" s="69"/>
      <c r="F101" s="120" t="s">
        <v>113</v>
      </c>
      <c r="G101" s="23">
        <f>G102</f>
        <v>200616</v>
      </c>
      <c r="H101" s="23">
        <f t="shared" ref="H101:M101" si="72">H102</f>
        <v>0</v>
      </c>
      <c r="I101" s="23">
        <f t="shared" si="72"/>
        <v>0</v>
      </c>
      <c r="J101" s="109">
        <f t="shared" si="72"/>
        <v>0</v>
      </c>
      <c r="K101" s="35">
        <f>'1.02.'!M92</f>
        <v>0</v>
      </c>
      <c r="L101" s="85">
        <f t="shared" si="72"/>
        <v>0</v>
      </c>
      <c r="M101" s="104">
        <f t="shared" si="72"/>
        <v>0</v>
      </c>
      <c r="N101" s="85">
        <f>N102</f>
        <v>0</v>
      </c>
      <c r="O101" s="68" t="e">
        <f t="shared" si="61"/>
        <v>#DIV/0!</v>
      </c>
      <c r="P101" s="71">
        <f t="shared" si="50"/>
        <v>0</v>
      </c>
      <c r="Q101" s="35">
        <f t="shared" si="51"/>
        <v>0</v>
      </c>
      <c r="R101" s="72">
        <v>1103663</v>
      </c>
      <c r="S101" s="72">
        <f t="shared" si="52"/>
        <v>200616</v>
      </c>
      <c r="T101" s="62">
        <f t="shared" ref="T101:T148" si="73">G101-J101</f>
        <v>200616</v>
      </c>
    </row>
    <row r="102" spans="1:20">
      <c r="A102" s="9"/>
      <c r="B102" s="9"/>
      <c r="C102" s="9"/>
      <c r="D102" s="21" t="s">
        <v>7</v>
      </c>
      <c r="E102" s="69"/>
      <c r="F102" s="122" t="s">
        <v>85</v>
      </c>
      <c r="G102" s="56">
        <f>G103+G104</f>
        <v>200616</v>
      </c>
      <c r="H102" s="56">
        <f t="shared" ref="H102:N102" si="74">H103+H104</f>
        <v>0</v>
      </c>
      <c r="I102" s="56">
        <f t="shared" si="74"/>
        <v>0</v>
      </c>
      <c r="J102" s="56">
        <f t="shared" si="74"/>
        <v>0</v>
      </c>
      <c r="K102" s="35">
        <f>'1.02.'!M93</f>
        <v>0</v>
      </c>
      <c r="L102" s="56">
        <f t="shared" si="74"/>
        <v>0</v>
      </c>
      <c r="M102" s="56">
        <f t="shared" si="74"/>
        <v>0</v>
      </c>
      <c r="N102" s="56">
        <f t="shared" si="74"/>
        <v>0</v>
      </c>
      <c r="O102" s="70" t="e">
        <f t="shared" si="61"/>
        <v>#DIV/0!</v>
      </c>
      <c r="P102" s="71">
        <f t="shared" si="50"/>
        <v>0</v>
      </c>
      <c r="Q102" s="35">
        <f t="shared" si="51"/>
        <v>0</v>
      </c>
      <c r="R102" s="72">
        <v>1103664</v>
      </c>
      <c r="S102" s="72">
        <f t="shared" si="52"/>
        <v>200616</v>
      </c>
      <c r="T102" s="62">
        <f t="shared" si="73"/>
        <v>200616</v>
      </c>
    </row>
    <row r="103" spans="1:20">
      <c r="A103" s="9"/>
      <c r="B103" s="9"/>
      <c r="C103" s="9"/>
      <c r="D103" s="69"/>
      <c r="E103" s="69">
        <v>159</v>
      </c>
      <c r="F103" s="122" t="s">
        <v>84</v>
      </c>
      <c r="G103" s="26">
        <v>200616</v>
      </c>
      <c r="H103" s="37">
        <v>0</v>
      </c>
      <c r="I103" s="37">
        <v>0</v>
      </c>
      <c r="J103" s="110">
        <f>M103</f>
        <v>0</v>
      </c>
      <c r="K103" s="35">
        <f>'1.02.'!M94</f>
        <v>0</v>
      </c>
      <c r="L103" s="80"/>
      <c r="M103" s="80">
        <f>K103+L103</f>
        <v>0</v>
      </c>
      <c r="N103" s="80">
        <f>I103-M103</f>
        <v>0</v>
      </c>
      <c r="O103" s="70" t="e">
        <f t="shared" si="61"/>
        <v>#DIV/0!</v>
      </c>
      <c r="P103" s="71">
        <f t="shared" si="50"/>
        <v>0</v>
      </c>
      <c r="Q103" s="35">
        <f t="shared" si="51"/>
        <v>0</v>
      </c>
      <c r="R103" s="72">
        <v>1103665</v>
      </c>
      <c r="S103" s="72">
        <f t="shared" si="52"/>
        <v>200616</v>
      </c>
      <c r="T103" s="62">
        <f t="shared" si="73"/>
        <v>200616</v>
      </c>
    </row>
    <row r="104" spans="1:20">
      <c r="A104" s="9"/>
      <c r="B104" s="9"/>
      <c r="C104" s="9"/>
      <c r="D104" s="69"/>
      <c r="E104" s="69">
        <v>322</v>
      </c>
      <c r="F104" s="78" t="s">
        <v>154</v>
      </c>
      <c r="G104" s="26"/>
      <c r="H104" s="37"/>
      <c r="I104" s="37"/>
      <c r="J104" s="110">
        <f>M104</f>
        <v>0</v>
      </c>
      <c r="K104" s="35">
        <f>'1.02.'!M95</f>
        <v>0</v>
      </c>
      <c r="L104" s="110"/>
      <c r="M104" s="80">
        <f>K104+L104</f>
        <v>0</v>
      </c>
      <c r="N104" s="80">
        <f>I104-M104</f>
        <v>0</v>
      </c>
      <c r="O104" s="70" t="e">
        <f t="shared" si="61"/>
        <v>#DIV/0!</v>
      </c>
      <c r="P104" s="71">
        <f t="shared" si="50"/>
        <v>0</v>
      </c>
      <c r="Q104" s="35">
        <f t="shared" si="51"/>
        <v>0</v>
      </c>
      <c r="R104" s="72">
        <v>1103666</v>
      </c>
      <c r="S104" s="72">
        <f t="shared" si="52"/>
        <v>0</v>
      </c>
    </row>
    <row r="105" spans="1:20" ht="51">
      <c r="A105" s="9"/>
      <c r="B105" s="9"/>
      <c r="C105" s="17" t="s">
        <v>41</v>
      </c>
      <c r="D105" s="69"/>
      <c r="E105" s="69"/>
      <c r="F105" s="79" t="s">
        <v>128</v>
      </c>
      <c r="G105" s="74">
        <f>G106</f>
        <v>20000</v>
      </c>
      <c r="H105" s="74">
        <f t="shared" ref="H105:O106" si="75">H106</f>
        <v>13390</v>
      </c>
      <c r="I105" s="74">
        <f t="shared" si="75"/>
        <v>2346.6999999999998</v>
      </c>
      <c r="J105" s="96">
        <f t="shared" si="75"/>
        <v>13390</v>
      </c>
      <c r="K105" s="35">
        <f>'1.02.'!M96</f>
        <v>0</v>
      </c>
      <c r="L105" s="89">
        <f t="shared" si="75"/>
        <v>1120.7980600000001</v>
      </c>
      <c r="M105" s="89">
        <f t="shared" si="75"/>
        <v>2284.1778899999999</v>
      </c>
      <c r="N105" s="91">
        <f t="shared" si="75"/>
        <v>62.522109999999884</v>
      </c>
      <c r="O105" s="74">
        <f t="shared" si="75"/>
        <v>97.335743384326932</v>
      </c>
      <c r="P105" s="71">
        <f t="shared" si="50"/>
        <v>11105.822110000001</v>
      </c>
      <c r="Q105" s="35">
        <f t="shared" si="51"/>
        <v>0</v>
      </c>
      <c r="R105" s="72">
        <v>1103667</v>
      </c>
      <c r="S105" s="72">
        <f t="shared" si="52"/>
        <v>17715.822110000001</v>
      </c>
      <c r="T105" s="62">
        <f>G105-J105</f>
        <v>6610</v>
      </c>
    </row>
    <row r="106" spans="1:20" s="73" customFormat="1">
      <c r="A106" s="8"/>
      <c r="B106" s="8"/>
      <c r="C106" s="8"/>
      <c r="D106" s="17" t="s">
        <v>35</v>
      </c>
      <c r="E106" s="21"/>
      <c r="F106" s="79"/>
      <c r="G106" s="88">
        <f>G107</f>
        <v>20000</v>
      </c>
      <c r="H106" s="74">
        <f t="shared" si="75"/>
        <v>13390</v>
      </c>
      <c r="I106" s="74">
        <f t="shared" si="75"/>
        <v>2346.6999999999998</v>
      </c>
      <c r="J106" s="96">
        <f t="shared" si="75"/>
        <v>13390</v>
      </c>
      <c r="K106" s="35">
        <f>'1.02.'!M97</f>
        <v>0</v>
      </c>
      <c r="L106" s="89">
        <f t="shared" si="75"/>
        <v>1120.7980600000001</v>
      </c>
      <c r="M106" s="89">
        <f t="shared" si="75"/>
        <v>2284.1778899999999</v>
      </c>
      <c r="N106" s="89">
        <f t="shared" si="75"/>
        <v>62.522109999999884</v>
      </c>
      <c r="O106" s="68">
        <f>M106/I106*100</f>
        <v>97.335743384326932</v>
      </c>
      <c r="P106" s="71">
        <f t="shared" si="50"/>
        <v>11105.822110000001</v>
      </c>
      <c r="Q106" s="35">
        <f t="shared" si="51"/>
        <v>0</v>
      </c>
      <c r="R106" s="72">
        <v>1103668</v>
      </c>
      <c r="S106" s="72">
        <f t="shared" si="52"/>
        <v>17715.822110000001</v>
      </c>
      <c r="T106" s="62">
        <f>G106-J106</f>
        <v>6610</v>
      </c>
    </row>
    <row r="107" spans="1:20">
      <c r="A107" s="9"/>
      <c r="B107" s="9"/>
      <c r="C107" s="9"/>
      <c r="D107" s="69"/>
      <c r="E107" s="69">
        <v>159</v>
      </c>
      <c r="F107" s="78" t="s">
        <v>155</v>
      </c>
      <c r="G107" s="41">
        <v>20000</v>
      </c>
      <c r="H107" s="72">
        <v>13390</v>
      </c>
      <c r="I107" s="72">
        <v>2346.6999999999998</v>
      </c>
      <c r="J107" s="94">
        <v>13390</v>
      </c>
      <c r="K107" s="35">
        <f>'1.03.'!M98</f>
        <v>1163.3798300000001</v>
      </c>
      <c r="L107" s="90">
        <v>1120.7980600000001</v>
      </c>
      <c r="M107" s="90">
        <f>K107+L107</f>
        <v>2284.1778899999999</v>
      </c>
      <c r="N107" s="90">
        <f>I107-M107</f>
        <v>62.522109999999884</v>
      </c>
      <c r="O107" s="70">
        <f>M107/I107*100</f>
        <v>97.335743384326932</v>
      </c>
      <c r="P107" s="71">
        <f t="shared" si="50"/>
        <v>11105.822110000001</v>
      </c>
      <c r="Q107" s="35">
        <f t="shared" si="51"/>
        <v>0</v>
      </c>
      <c r="R107" s="72">
        <v>1103669</v>
      </c>
      <c r="S107" s="72">
        <f t="shared" si="52"/>
        <v>17715.822110000001</v>
      </c>
      <c r="T107" s="62">
        <f>G107-J107</f>
        <v>6610</v>
      </c>
    </row>
    <row r="108" spans="1:20" s="73" customFormat="1">
      <c r="A108" s="8"/>
      <c r="B108" s="8" t="s">
        <v>24</v>
      </c>
      <c r="C108" s="8"/>
      <c r="D108" s="21"/>
      <c r="E108" s="21"/>
      <c r="F108" s="139" t="s">
        <v>114</v>
      </c>
      <c r="G108" s="59">
        <f t="shared" ref="G108:N109" si="76">G109</f>
        <v>588262</v>
      </c>
      <c r="H108" s="59">
        <f t="shared" si="76"/>
        <v>188073</v>
      </c>
      <c r="I108" s="59">
        <f t="shared" si="76"/>
        <v>147405.20000000001</v>
      </c>
      <c r="J108" s="29">
        <f t="shared" si="76"/>
        <v>179434.81017000001</v>
      </c>
      <c r="K108" s="29">
        <f>'1.02.'!M99</f>
        <v>46251.970999999998</v>
      </c>
      <c r="L108" s="29">
        <f t="shared" si="76"/>
        <v>44737.548000000003</v>
      </c>
      <c r="M108" s="29">
        <f t="shared" si="76"/>
        <v>140047.31700000004</v>
      </c>
      <c r="N108" s="29">
        <f t="shared" si="76"/>
        <v>7357.8830000000089</v>
      </c>
      <c r="O108" s="68">
        <f t="shared" si="61"/>
        <v>95.008396583024222</v>
      </c>
      <c r="P108" s="71">
        <f t="shared" si="50"/>
        <v>39387.493169999972</v>
      </c>
      <c r="Q108" s="35">
        <f t="shared" si="51"/>
        <v>8638.1898299999884</v>
      </c>
      <c r="R108" s="72">
        <v>1103670</v>
      </c>
      <c r="S108" s="72">
        <f t="shared" si="52"/>
        <v>448214.68299999996</v>
      </c>
      <c r="T108" s="62">
        <f t="shared" si="73"/>
        <v>408827.18982999999</v>
      </c>
    </row>
    <row r="109" spans="1:20" ht="76.5">
      <c r="A109" s="8"/>
      <c r="B109" s="8"/>
      <c r="C109" s="17" t="s">
        <v>7</v>
      </c>
      <c r="D109" s="17"/>
      <c r="E109" s="21"/>
      <c r="F109" s="139" t="s">
        <v>115</v>
      </c>
      <c r="G109" s="59">
        <f>G110</f>
        <v>588262</v>
      </c>
      <c r="H109" s="59">
        <f t="shared" si="76"/>
        <v>188073</v>
      </c>
      <c r="I109" s="59">
        <f t="shared" si="76"/>
        <v>147405.20000000001</v>
      </c>
      <c r="J109" s="59">
        <f t="shared" si="76"/>
        <v>179434.81017000001</v>
      </c>
      <c r="K109" s="29">
        <f>'1.02.'!M100</f>
        <v>46251.970999999998</v>
      </c>
      <c r="L109" s="59">
        <f t="shared" si="76"/>
        <v>44737.548000000003</v>
      </c>
      <c r="M109" s="59">
        <f t="shared" si="76"/>
        <v>140047.31700000004</v>
      </c>
      <c r="N109" s="59">
        <f t="shared" si="76"/>
        <v>7357.8830000000089</v>
      </c>
      <c r="O109" s="68">
        <f t="shared" si="61"/>
        <v>95.008396583024222</v>
      </c>
      <c r="P109" s="60">
        <f t="shared" si="50"/>
        <v>39387.493169999972</v>
      </c>
      <c r="Q109" s="29">
        <f t="shared" si="51"/>
        <v>8638.1898299999884</v>
      </c>
      <c r="R109" s="74">
        <v>1103671</v>
      </c>
      <c r="S109" s="74">
        <f t="shared" si="52"/>
        <v>448214.68299999996</v>
      </c>
      <c r="T109" s="62">
        <f t="shared" si="73"/>
        <v>408827.18982999999</v>
      </c>
    </row>
    <row r="110" spans="1:20">
      <c r="A110" s="8"/>
      <c r="B110" s="8"/>
      <c r="C110" s="17"/>
      <c r="D110" s="17" t="s">
        <v>7</v>
      </c>
      <c r="E110" s="10"/>
      <c r="F110" s="140" t="s">
        <v>85</v>
      </c>
      <c r="G110" s="33">
        <f>SUM(G111:G128)</f>
        <v>588262</v>
      </c>
      <c r="H110" s="33">
        <f t="shared" ref="H110:N110" si="77">SUM(H111:H128)</f>
        <v>188073</v>
      </c>
      <c r="I110" s="33">
        <f t="shared" si="77"/>
        <v>147405.20000000001</v>
      </c>
      <c r="J110" s="29">
        <f t="shared" si="77"/>
        <v>179434.81017000001</v>
      </c>
      <c r="K110" s="35">
        <f>'1.02.'!M101</f>
        <v>46251.970999999998</v>
      </c>
      <c r="L110" s="29">
        <f>SUM(L111:L128)</f>
        <v>44737.548000000003</v>
      </c>
      <c r="M110" s="29">
        <f t="shared" si="77"/>
        <v>140047.31700000004</v>
      </c>
      <c r="N110" s="29">
        <f t="shared" si="77"/>
        <v>7357.8830000000089</v>
      </c>
      <c r="O110" s="68">
        <f t="shared" si="61"/>
        <v>95.008396583024222</v>
      </c>
      <c r="P110" s="71">
        <f t="shared" si="50"/>
        <v>39387.493169999972</v>
      </c>
      <c r="Q110" s="35">
        <f t="shared" si="51"/>
        <v>8638.1898299999884</v>
      </c>
      <c r="R110" s="72">
        <v>1103672</v>
      </c>
      <c r="S110" s="72">
        <f t="shared" si="52"/>
        <v>448214.68299999996</v>
      </c>
      <c r="T110" s="62">
        <f t="shared" si="73"/>
        <v>408827.18982999999</v>
      </c>
    </row>
    <row r="111" spans="1:20">
      <c r="A111" s="8"/>
      <c r="B111" s="8"/>
      <c r="C111" s="8"/>
      <c r="D111" s="21"/>
      <c r="E111" s="69">
        <v>111</v>
      </c>
      <c r="F111" s="136" t="s">
        <v>86</v>
      </c>
      <c r="G111" s="26">
        <v>408393</v>
      </c>
      <c r="H111" s="37">
        <v>90000</v>
      </c>
      <c r="I111" s="37">
        <v>90000</v>
      </c>
      <c r="J111" s="75">
        <f>M111</f>
        <v>86987.891999999993</v>
      </c>
      <c r="K111" s="35">
        <f>'1.03.'!M102</f>
        <v>59997.06</v>
      </c>
      <c r="L111" s="35">
        <v>26990.831999999999</v>
      </c>
      <c r="M111" s="92">
        <f t="shared" ref="M111:M191" si="78">K111+L111</f>
        <v>86987.891999999993</v>
      </c>
      <c r="N111" s="93">
        <f t="shared" ref="N111:N191" si="79">I111-M111</f>
        <v>3012.1080000000075</v>
      </c>
      <c r="O111" s="70">
        <f t="shared" si="61"/>
        <v>96.653213333333326</v>
      </c>
      <c r="P111" s="71">
        <f t="shared" si="50"/>
        <v>0</v>
      </c>
      <c r="Q111" s="35">
        <f t="shared" si="51"/>
        <v>3012.1080000000075</v>
      </c>
      <c r="R111" s="72">
        <v>1103673</v>
      </c>
      <c r="S111" s="72">
        <f t="shared" si="52"/>
        <v>321405.10800000001</v>
      </c>
      <c r="T111" s="62">
        <f t="shared" si="73"/>
        <v>321405.10800000001</v>
      </c>
    </row>
    <row r="112" spans="1:20">
      <c r="A112" s="8"/>
      <c r="B112" s="8"/>
      <c r="C112" s="8"/>
      <c r="D112" s="21"/>
      <c r="E112" s="69">
        <v>112</v>
      </c>
      <c r="F112" s="136" t="s">
        <v>87</v>
      </c>
      <c r="G112" s="26"/>
      <c r="H112" s="37"/>
      <c r="I112" s="37"/>
      <c r="J112" s="75">
        <f t="shared" ref="J112:J118" si="80">M112</f>
        <v>0</v>
      </c>
      <c r="K112" s="35">
        <f>'1.03.'!M103</f>
        <v>0</v>
      </c>
      <c r="L112" s="35"/>
      <c r="M112" s="92">
        <f t="shared" si="78"/>
        <v>0</v>
      </c>
      <c r="N112" s="93">
        <f t="shared" si="79"/>
        <v>0</v>
      </c>
      <c r="O112" s="70" t="e">
        <f t="shared" si="61"/>
        <v>#DIV/0!</v>
      </c>
      <c r="P112" s="71">
        <f t="shared" si="50"/>
        <v>0</v>
      </c>
      <c r="Q112" s="35">
        <f t="shared" si="51"/>
        <v>0</v>
      </c>
      <c r="R112" s="72">
        <v>1103674</v>
      </c>
      <c r="S112" s="72">
        <f t="shared" si="52"/>
        <v>0</v>
      </c>
    </row>
    <row r="113" spans="1:20">
      <c r="A113" s="8"/>
      <c r="B113" s="8"/>
      <c r="C113" s="8"/>
      <c r="D113" s="21"/>
      <c r="E113" s="76">
        <v>113</v>
      </c>
      <c r="F113" s="136" t="s">
        <v>88</v>
      </c>
      <c r="G113" s="26">
        <v>14739</v>
      </c>
      <c r="H113" s="37">
        <v>1961</v>
      </c>
      <c r="I113" s="37">
        <v>1961</v>
      </c>
      <c r="J113" s="75">
        <f t="shared" si="80"/>
        <v>1684.29</v>
      </c>
      <c r="K113" s="35">
        <f>'1.03.'!M104</f>
        <v>1519</v>
      </c>
      <c r="L113" s="35">
        <v>165.29</v>
      </c>
      <c r="M113" s="92">
        <f t="shared" si="78"/>
        <v>1684.29</v>
      </c>
      <c r="N113" s="93">
        <f t="shared" si="79"/>
        <v>276.71000000000004</v>
      </c>
      <c r="O113" s="70">
        <f t="shared" si="61"/>
        <v>85.88934217236104</v>
      </c>
      <c r="P113" s="71">
        <f t="shared" si="50"/>
        <v>0</v>
      </c>
      <c r="Q113" s="35">
        <f t="shared" si="51"/>
        <v>276.71000000000004</v>
      </c>
      <c r="R113" s="72">
        <v>1103675</v>
      </c>
      <c r="S113" s="72">
        <f t="shared" si="52"/>
        <v>13054.71</v>
      </c>
      <c r="T113" s="62">
        <f t="shared" si="73"/>
        <v>13054.71</v>
      </c>
    </row>
    <row r="114" spans="1:20">
      <c r="A114" s="8"/>
      <c r="B114" s="8"/>
      <c r="C114" s="8"/>
      <c r="D114" s="21"/>
      <c r="E114" s="69">
        <v>116</v>
      </c>
      <c r="F114" s="136" t="s">
        <v>89</v>
      </c>
      <c r="G114" s="26">
        <v>9468</v>
      </c>
      <c r="H114" s="37">
        <v>755</v>
      </c>
      <c r="I114" s="37">
        <v>755</v>
      </c>
      <c r="J114" s="75">
        <f t="shared" si="80"/>
        <v>350</v>
      </c>
      <c r="K114" s="35">
        <f>'1.03.'!M105</f>
        <v>350</v>
      </c>
      <c r="L114" s="35"/>
      <c r="M114" s="92">
        <f>K114+L114</f>
        <v>350</v>
      </c>
      <c r="N114" s="93">
        <f>I114-M114</f>
        <v>405</v>
      </c>
      <c r="O114" s="70">
        <f>M114/I114*100</f>
        <v>46.357615894039732</v>
      </c>
      <c r="P114" s="71">
        <f t="shared" si="50"/>
        <v>0</v>
      </c>
      <c r="Q114" s="35">
        <f t="shared" si="51"/>
        <v>405</v>
      </c>
      <c r="R114" s="72">
        <v>1103676</v>
      </c>
      <c r="S114" s="72">
        <f t="shared" si="52"/>
        <v>9118</v>
      </c>
    </row>
    <row r="115" spans="1:20">
      <c r="A115" s="8"/>
      <c r="B115" s="8"/>
      <c r="C115" s="8"/>
      <c r="D115" s="21"/>
      <c r="E115" s="69">
        <v>121</v>
      </c>
      <c r="F115" s="136" t="s">
        <v>90</v>
      </c>
      <c r="G115" s="26">
        <v>19586</v>
      </c>
      <c r="H115" s="37">
        <v>4200</v>
      </c>
      <c r="I115" s="37">
        <v>4200</v>
      </c>
      <c r="J115" s="75">
        <f t="shared" si="80"/>
        <v>2873.3870000000002</v>
      </c>
      <c r="K115" s="35">
        <f>'1.03.'!M106</f>
        <v>2800</v>
      </c>
      <c r="L115" s="35">
        <v>73.387</v>
      </c>
      <c r="M115" s="92">
        <f t="shared" si="78"/>
        <v>2873.3870000000002</v>
      </c>
      <c r="N115" s="93">
        <f t="shared" si="79"/>
        <v>1326.6129999999998</v>
      </c>
      <c r="O115" s="70">
        <f t="shared" si="61"/>
        <v>68.413976190476205</v>
      </c>
      <c r="P115" s="71">
        <f t="shared" si="50"/>
        <v>0</v>
      </c>
      <c r="Q115" s="35">
        <f t="shared" si="51"/>
        <v>1326.6129999999998</v>
      </c>
      <c r="R115" s="72">
        <v>1103677</v>
      </c>
      <c r="S115" s="72">
        <f t="shared" si="52"/>
        <v>16712.613000000001</v>
      </c>
      <c r="T115" s="62">
        <f t="shared" si="73"/>
        <v>16712.613000000001</v>
      </c>
    </row>
    <row r="116" spans="1:20" ht="25.5">
      <c r="A116" s="8"/>
      <c r="B116" s="8"/>
      <c r="C116" s="8"/>
      <c r="D116" s="21"/>
      <c r="E116" s="69">
        <v>122</v>
      </c>
      <c r="F116" s="136" t="s">
        <v>91</v>
      </c>
      <c r="G116" s="26">
        <v>17015</v>
      </c>
      <c r="H116" s="37">
        <v>3660</v>
      </c>
      <c r="I116" s="37">
        <v>3660</v>
      </c>
      <c r="J116" s="75">
        <f t="shared" si="80"/>
        <v>2415.0389999999998</v>
      </c>
      <c r="K116" s="35">
        <f>'1.03.'!M107</f>
        <v>2415.0389999999998</v>
      </c>
      <c r="L116" s="35"/>
      <c r="M116" s="92">
        <f>K116+L116</f>
        <v>2415.0389999999998</v>
      </c>
      <c r="N116" s="93">
        <f t="shared" si="79"/>
        <v>1244.9610000000002</v>
      </c>
      <c r="O116" s="70">
        <f t="shared" si="61"/>
        <v>65.984672131147533</v>
      </c>
      <c r="P116" s="71">
        <f t="shared" si="50"/>
        <v>0</v>
      </c>
      <c r="Q116" s="35">
        <f t="shared" si="51"/>
        <v>1244.9610000000002</v>
      </c>
      <c r="R116" s="72">
        <v>1103678</v>
      </c>
      <c r="S116" s="72">
        <f t="shared" si="52"/>
        <v>14599.960999999999</v>
      </c>
      <c r="T116" s="62">
        <f t="shared" si="73"/>
        <v>14599.960999999999</v>
      </c>
    </row>
    <row r="117" spans="1:20">
      <c r="A117" s="8"/>
      <c r="B117" s="8"/>
      <c r="C117" s="8"/>
      <c r="D117" s="21"/>
      <c r="E117" s="69">
        <v>123</v>
      </c>
      <c r="F117" s="136" t="s">
        <v>92</v>
      </c>
      <c r="G117" s="26">
        <v>195</v>
      </c>
      <c r="H117" s="37">
        <v>52</v>
      </c>
      <c r="I117" s="37">
        <v>52</v>
      </c>
      <c r="J117" s="75">
        <f t="shared" si="80"/>
        <v>0</v>
      </c>
      <c r="K117" s="35">
        <f>'1.03.'!M108</f>
        <v>0</v>
      </c>
      <c r="L117" s="35"/>
      <c r="M117" s="92">
        <f t="shared" si="78"/>
        <v>0</v>
      </c>
      <c r="N117" s="93">
        <f t="shared" si="79"/>
        <v>52</v>
      </c>
      <c r="O117" s="70">
        <f t="shared" si="61"/>
        <v>0</v>
      </c>
      <c r="P117" s="71">
        <f t="shared" si="50"/>
        <v>0</v>
      </c>
      <c r="Q117" s="35">
        <f t="shared" si="51"/>
        <v>52</v>
      </c>
      <c r="R117" s="72">
        <v>1103679</v>
      </c>
      <c r="S117" s="72">
        <f t="shared" si="52"/>
        <v>195</v>
      </c>
      <c r="T117" s="62">
        <f t="shared" si="73"/>
        <v>195</v>
      </c>
    </row>
    <row r="118" spans="1:20">
      <c r="A118" s="9"/>
      <c r="B118" s="8"/>
      <c r="C118" s="8"/>
      <c r="D118" s="21"/>
      <c r="E118" s="69">
        <v>124</v>
      </c>
      <c r="F118" s="136" t="s">
        <v>93</v>
      </c>
      <c r="G118" s="26">
        <v>11343</v>
      </c>
      <c r="H118" s="37">
        <v>2400</v>
      </c>
      <c r="I118" s="37">
        <v>2400</v>
      </c>
      <c r="J118" s="75">
        <f t="shared" si="80"/>
        <v>1541.5580000000002</v>
      </c>
      <c r="K118" s="35">
        <f>'1.03.'!M109</f>
        <v>1595.5900000000001</v>
      </c>
      <c r="L118" s="35">
        <v>-54.031999999999996</v>
      </c>
      <c r="M118" s="92">
        <f t="shared" si="78"/>
        <v>1541.5580000000002</v>
      </c>
      <c r="N118" s="93">
        <f t="shared" si="79"/>
        <v>858.44199999999978</v>
      </c>
      <c r="O118" s="70">
        <f t="shared" si="61"/>
        <v>64.231583333333347</v>
      </c>
      <c r="P118" s="71">
        <f t="shared" si="50"/>
        <v>0</v>
      </c>
      <c r="Q118" s="35">
        <f t="shared" si="51"/>
        <v>858.44199999999978</v>
      </c>
      <c r="R118" s="72">
        <v>1103680</v>
      </c>
      <c r="S118" s="72">
        <f t="shared" si="52"/>
        <v>9801.4419999999991</v>
      </c>
      <c r="T118" s="62">
        <f t="shared" si="73"/>
        <v>9801.4419999999991</v>
      </c>
    </row>
    <row r="119" spans="1:20" s="73" customFormat="1">
      <c r="A119" s="9"/>
      <c r="B119" s="8"/>
      <c r="C119" s="8"/>
      <c r="D119" s="21"/>
      <c r="E119" s="69">
        <v>141</v>
      </c>
      <c r="F119" s="136" t="s">
        <v>116</v>
      </c>
      <c r="G119" s="26">
        <f>44952-157</f>
        <v>44795</v>
      </c>
      <c r="H119" s="37">
        <v>36348</v>
      </c>
      <c r="I119" s="37">
        <v>3194</v>
      </c>
      <c r="J119" s="75">
        <v>36347.695350000002</v>
      </c>
      <c r="K119" s="35">
        <f>'1.03.'!M110</f>
        <v>0</v>
      </c>
      <c r="L119" s="35">
        <v>3187.3910000000001</v>
      </c>
      <c r="M119" s="92">
        <f t="shared" si="78"/>
        <v>3187.3910000000001</v>
      </c>
      <c r="N119" s="93">
        <f t="shared" si="79"/>
        <v>6.6089999999999236</v>
      </c>
      <c r="O119" s="70">
        <f t="shared" si="61"/>
        <v>99.793080776455852</v>
      </c>
      <c r="P119" s="71">
        <f t="shared" si="50"/>
        <v>33160.304349999999</v>
      </c>
      <c r="Q119" s="35">
        <f t="shared" si="51"/>
        <v>0.30464999999821885</v>
      </c>
      <c r="R119" s="72">
        <v>1103681</v>
      </c>
      <c r="S119" s="72">
        <f t="shared" si="52"/>
        <v>41607.608999999997</v>
      </c>
      <c r="T119" s="62">
        <f t="shared" si="73"/>
        <v>8447.3046499999982</v>
      </c>
    </row>
    <row r="120" spans="1:20">
      <c r="A120" s="9"/>
      <c r="B120" s="8"/>
      <c r="C120" s="8"/>
      <c r="D120" s="21"/>
      <c r="E120" s="69">
        <v>144</v>
      </c>
      <c r="F120" s="136" t="s">
        <v>97</v>
      </c>
      <c r="G120" s="26">
        <v>836</v>
      </c>
      <c r="H120" s="37"/>
      <c r="I120" s="37"/>
      <c r="J120" s="75">
        <f t="shared" ref="J120:J128" si="81">M120</f>
        <v>0</v>
      </c>
      <c r="K120" s="35">
        <f>'1.03.'!M111</f>
        <v>0</v>
      </c>
      <c r="L120" s="35"/>
      <c r="M120" s="92">
        <f t="shared" si="78"/>
        <v>0</v>
      </c>
      <c r="N120" s="93">
        <f t="shared" si="79"/>
        <v>0</v>
      </c>
      <c r="O120" s="70" t="e">
        <f t="shared" si="61"/>
        <v>#DIV/0!</v>
      </c>
      <c r="P120" s="71">
        <f t="shared" si="50"/>
        <v>0</v>
      </c>
      <c r="Q120" s="35">
        <f t="shared" si="51"/>
        <v>0</v>
      </c>
      <c r="R120" s="72">
        <v>1103682</v>
      </c>
      <c r="S120" s="72">
        <f t="shared" si="52"/>
        <v>836</v>
      </c>
      <c r="T120" s="62">
        <f t="shared" si="73"/>
        <v>836</v>
      </c>
    </row>
    <row r="121" spans="1:20">
      <c r="A121" s="9"/>
      <c r="B121" s="8"/>
      <c r="C121" s="8"/>
      <c r="D121" s="21"/>
      <c r="E121" s="69">
        <v>149</v>
      </c>
      <c r="F121" s="136" t="s">
        <v>98</v>
      </c>
      <c r="G121" s="26">
        <f>5652+157</f>
        <v>5809</v>
      </c>
      <c r="H121" s="37">
        <v>4557.5</v>
      </c>
      <c r="I121" s="37">
        <v>4557.5</v>
      </c>
      <c r="J121" s="75">
        <v>4551.4853199999998</v>
      </c>
      <c r="K121" s="35">
        <f>'1.03.'!M112</f>
        <v>951.08</v>
      </c>
      <c r="L121" s="35">
        <v>3600.4053199999998</v>
      </c>
      <c r="M121" s="92">
        <f t="shared" si="78"/>
        <v>4551.4853199999998</v>
      </c>
      <c r="N121" s="93">
        <f t="shared" si="79"/>
        <v>6.0146800000002258</v>
      </c>
      <c r="O121" s="70">
        <f t="shared" si="61"/>
        <v>99.868026769061984</v>
      </c>
      <c r="P121" s="71">
        <f t="shared" si="50"/>
        <v>0</v>
      </c>
      <c r="Q121" s="35">
        <f t="shared" si="51"/>
        <v>6.0146800000002258</v>
      </c>
      <c r="R121" s="72">
        <v>1103683</v>
      </c>
      <c r="S121" s="72">
        <f t="shared" si="52"/>
        <v>1257.5146800000002</v>
      </c>
      <c r="T121" s="62">
        <f t="shared" si="73"/>
        <v>1257.5146800000002</v>
      </c>
    </row>
    <row r="122" spans="1:20">
      <c r="A122" s="9"/>
      <c r="B122" s="8"/>
      <c r="C122" s="8"/>
      <c r="D122" s="21"/>
      <c r="E122" s="69">
        <v>151</v>
      </c>
      <c r="F122" s="136" t="s">
        <v>99</v>
      </c>
      <c r="G122" s="26">
        <v>43006</v>
      </c>
      <c r="H122" s="37">
        <v>35633.5</v>
      </c>
      <c r="I122" s="37">
        <v>35633.5</v>
      </c>
      <c r="J122" s="75">
        <f t="shared" si="81"/>
        <v>35516.56452</v>
      </c>
      <c r="K122" s="35">
        <f>'1.03.'!M113</f>
        <v>25421</v>
      </c>
      <c r="L122" s="35">
        <v>10095.56452</v>
      </c>
      <c r="M122" s="92">
        <f t="shared" si="78"/>
        <v>35516.56452</v>
      </c>
      <c r="N122" s="93">
        <f t="shared" si="79"/>
        <v>116.9354800000001</v>
      </c>
      <c r="O122" s="70">
        <f t="shared" si="61"/>
        <v>99.671838354357561</v>
      </c>
      <c r="P122" s="71">
        <f t="shared" si="50"/>
        <v>0</v>
      </c>
      <c r="Q122" s="35">
        <f t="shared" si="51"/>
        <v>116.9354800000001</v>
      </c>
      <c r="R122" s="72">
        <v>1103684</v>
      </c>
      <c r="S122" s="72">
        <f t="shared" si="52"/>
        <v>7489.4354800000001</v>
      </c>
      <c r="T122" s="62">
        <f t="shared" si="73"/>
        <v>7489.4354800000001</v>
      </c>
    </row>
    <row r="123" spans="1:20">
      <c r="A123" s="9"/>
      <c r="B123" s="9"/>
      <c r="C123" s="9"/>
      <c r="D123" s="69"/>
      <c r="E123" s="69">
        <v>152</v>
      </c>
      <c r="F123" s="136" t="s">
        <v>100</v>
      </c>
      <c r="G123" s="26">
        <v>2907</v>
      </c>
      <c r="H123" s="37">
        <v>2907</v>
      </c>
      <c r="I123" s="37">
        <v>250</v>
      </c>
      <c r="J123" s="75">
        <v>1667.3999799999999</v>
      </c>
      <c r="K123" s="35">
        <f>'1.03.'!M114</f>
        <v>200</v>
      </c>
      <c r="L123" s="35">
        <v>27.850159999999999</v>
      </c>
      <c r="M123" s="92">
        <f t="shared" si="78"/>
        <v>227.85015999999999</v>
      </c>
      <c r="N123" s="93">
        <f t="shared" si="79"/>
        <v>22.149840000000012</v>
      </c>
      <c r="O123" s="70">
        <f t="shared" si="61"/>
        <v>91.140063999999995</v>
      </c>
      <c r="P123" s="71">
        <f t="shared" si="50"/>
        <v>1439.54982</v>
      </c>
      <c r="Q123" s="35">
        <f t="shared" si="51"/>
        <v>1239.6000200000001</v>
      </c>
      <c r="R123" s="72">
        <v>1103685</v>
      </c>
      <c r="S123" s="72">
        <f t="shared" si="52"/>
        <v>2679.14984</v>
      </c>
      <c r="T123" s="62">
        <f t="shared" si="73"/>
        <v>1239.6000200000001</v>
      </c>
    </row>
    <row r="124" spans="1:20" ht="25.5">
      <c r="A124" s="9"/>
      <c r="B124" s="9"/>
      <c r="C124" s="9"/>
      <c r="D124" s="69"/>
      <c r="E124" s="69">
        <v>158</v>
      </c>
      <c r="F124" s="136" t="s">
        <v>101</v>
      </c>
      <c r="G124" s="26">
        <f>730+1670</f>
        <v>2400</v>
      </c>
      <c r="H124" s="37">
        <v>2400</v>
      </c>
      <c r="I124" s="37">
        <v>122</v>
      </c>
      <c r="J124" s="75">
        <v>2400</v>
      </c>
      <c r="K124" s="35">
        <f>'1.03.'!M115</f>
        <v>61</v>
      </c>
      <c r="L124" s="35">
        <v>61</v>
      </c>
      <c r="M124" s="92">
        <f t="shared" si="78"/>
        <v>122</v>
      </c>
      <c r="N124" s="93">
        <f t="shared" si="79"/>
        <v>0</v>
      </c>
      <c r="O124" s="70">
        <f t="shared" si="61"/>
        <v>100</v>
      </c>
      <c r="P124" s="71">
        <f t="shared" si="50"/>
        <v>2278</v>
      </c>
      <c r="Q124" s="35">
        <f t="shared" si="51"/>
        <v>0</v>
      </c>
      <c r="R124" s="72">
        <v>1103686</v>
      </c>
      <c r="S124" s="72">
        <f t="shared" si="52"/>
        <v>2278</v>
      </c>
      <c r="T124" s="62">
        <f t="shared" si="73"/>
        <v>0</v>
      </c>
    </row>
    <row r="125" spans="1:20">
      <c r="A125" s="9"/>
      <c r="B125" s="8"/>
      <c r="C125" s="8"/>
      <c r="D125" s="69"/>
      <c r="E125" s="69">
        <v>159</v>
      </c>
      <c r="F125" s="136" t="s">
        <v>84</v>
      </c>
      <c r="G125" s="26">
        <f>7990-1670</f>
        <v>6320</v>
      </c>
      <c r="H125" s="37">
        <v>3149</v>
      </c>
      <c r="I125" s="37">
        <v>570.20000000000005</v>
      </c>
      <c r="J125" s="75">
        <v>3079.8389999999999</v>
      </c>
      <c r="K125" s="35">
        <f>'1.03.'!M116</f>
        <v>0</v>
      </c>
      <c r="L125" s="35">
        <v>570.20000000000005</v>
      </c>
      <c r="M125" s="92">
        <f t="shared" si="78"/>
        <v>570.20000000000005</v>
      </c>
      <c r="N125" s="93">
        <f t="shared" si="79"/>
        <v>0</v>
      </c>
      <c r="O125" s="70">
        <f t="shared" si="61"/>
        <v>100</v>
      </c>
      <c r="P125" s="71">
        <f t="shared" si="50"/>
        <v>2509.6390000000001</v>
      </c>
      <c r="Q125" s="35">
        <f t="shared" si="51"/>
        <v>69.161000000000058</v>
      </c>
      <c r="R125" s="72">
        <v>1103687</v>
      </c>
      <c r="S125" s="72">
        <f t="shared" si="52"/>
        <v>5749.8</v>
      </c>
      <c r="T125" s="62">
        <f t="shared" si="73"/>
        <v>3240.1610000000001</v>
      </c>
    </row>
    <row r="126" spans="1:20">
      <c r="A126" s="9"/>
      <c r="B126" s="8"/>
      <c r="C126" s="8"/>
      <c r="D126" s="69"/>
      <c r="E126" s="76">
        <v>161</v>
      </c>
      <c r="F126" s="136" t="s">
        <v>102</v>
      </c>
      <c r="G126" s="26">
        <v>1250</v>
      </c>
      <c r="H126" s="37"/>
      <c r="I126" s="37"/>
      <c r="J126" s="75">
        <f t="shared" si="81"/>
        <v>0</v>
      </c>
      <c r="K126" s="35">
        <f>'1.03.'!M117</f>
        <v>0</v>
      </c>
      <c r="L126" s="35"/>
      <c r="M126" s="92">
        <f t="shared" si="78"/>
        <v>0</v>
      </c>
      <c r="N126" s="93">
        <f t="shared" si="79"/>
        <v>0</v>
      </c>
      <c r="O126" s="70" t="e">
        <f t="shared" si="61"/>
        <v>#DIV/0!</v>
      </c>
      <c r="P126" s="71">
        <f t="shared" si="50"/>
        <v>0</v>
      </c>
      <c r="Q126" s="35">
        <f t="shared" si="51"/>
        <v>0</v>
      </c>
      <c r="R126" s="72">
        <v>1103688</v>
      </c>
      <c r="S126" s="72">
        <f t="shared" si="52"/>
        <v>1250</v>
      </c>
      <c r="T126" s="62">
        <f t="shared" si="73"/>
        <v>1250</v>
      </c>
    </row>
    <row r="127" spans="1:20">
      <c r="A127" s="9"/>
      <c r="B127" s="8"/>
      <c r="C127" s="8"/>
      <c r="D127" s="69"/>
      <c r="E127" s="76">
        <v>168</v>
      </c>
      <c r="F127" s="136" t="s">
        <v>167</v>
      </c>
      <c r="G127" s="26">
        <v>50</v>
      </c>
      <c r="H127" s="37">
        <v>50</v>
      </c>
      <c r="I127" s="37">
        <v>50</v>
      </c>
      <c r="J127" s="75">
        <v>19.66</v>
      </c>
      <c r="K127" s="35"/>
      <c r="L127" s="35">
        <v>19.66</v>
      </c>
      <c r="M127" s="92">
        <f t="shared" ref="M127" si="82">K127+L127</f>
        <v>19.66</v>
      </c>
      <c r="N127" s="93">
        <f t="shared" ref="N127" si="83">I127-M127</f>
        <v>30.34</v>
      </c>
      <c r="O127" s="70">
        <f t="shared" ref="O127" si="84">M127/I127*100</f>
        <v>39.32</v>
      </c>
      <c r="P127" s="71">
        <f t="shared" ref="P127" si="85">J127-M127</f>
        <v>0</v>
      </c>
      <c r="Q127" s="35">
        <f t="shared" ref="Q127" si="86">H127-J127</f>
        <v>30.34</v>
      </c>
      <c r="R127" s="72">
        <v>1103689</v>
      </c>
      <c r="S127" s="72">
        <f t="shared" ref="S127" si="87">G127-M127</f>
        <v>30.34</v>
      </c>
    </row>
    <row r="128" spans="1:20">
      <c r="A128" s="9"/>
      <c r="B128" s="8"/>
      <c r="C128" s="8"/>
      <c r="D128" s="69"/>
      <c r="E128" s="69">
        <v>169</v>
      </c>
      <c r="F128" s="136" t="s">
        <v>103</v>
      </c>
      <c r="G128" s="26">
        <f>200-50</f>
        <v>150</v>
      </c>
      <c r="H128" s="37">
        <v>0</v>
      </c>
      <c r="I128" s="37">
        <v>0</v>
      </c>
      <c r="J128" s="75">
        <f t="shared" si="81"/>
        <v>0</v>
      </c>
      <c r="K128" s="35">
        <f>'1.03.'!M118</f>
        <v>0</v>
      </c>
      <c r="L128" s="35"/>
      <c r="M128" s="92">
        <f t="shared" si="78"/>
        <v>0</v>
      </c>
      <c r="N128" s="93">
        <f t="shared" si="79"/>
        <v>0</v>
      </c>
      <c r="O128" s="70" t="e">
        <f t="shared" si="61"/>
        <v>#DIV/0!</v>
      </c>
      <c r="P128" s="71">
        <f t="shared" si="50"/>
        <v>0</v>
      </c>
      <c r="Q128" s="35">
        <f t="shared" si="51"/>
        <v>0</v>
      </c>
      <c r="R128" s="72">
        <v>1103689</v>
      </c>
      <c r="S128" s="72">
        <f t="shared" si="52"/>
        <v>150</v>
      </c>
      <c r="T128" s="62">
        <f t="shared" si="73"/>
        <v>150</v>
      </c>
    </row>
    <row r="129" spans="1:20" s="73" customFormat="1">
      <c r="A129" s="8"/>
      <c r="B129" s="17">
        <v>1263</v>
      </c>
      <c r="C129" s="12"/>
      <c r="D129" s="11"/>
      <c r="E129" s="18"/>
      <c r="F129" s="139" t="s">
        <v>117</v>
      </c>
      <c r="G129" s="42">
        <f t="shared" ref="G129:N129" si="88">G130+G149</f>
        <v>557301</v>
      </c>
      <c r="H129" s="42">
        <f t="shared" si="88"/>
        <v>180983.2</v>
      </c>
      <c r="I129" s="42">
        <f t="shared" si="88"/>
        <v>84201.3</v>
      </c>
      <c r="J129" s="29">
        <f t="shared" si="88"/>
        <v>180980.93006000001</v>
      </c>
      <c r="K129" s="29">
        <f>'1.02.'!M119</f>
        <v>10083.11916</v>
      </c>
      <c r="L129" s="29">
        <f t="shared" si="88"/>
        <v>40429.583319999998</v>
      </c>
      <c r="M129" s="29">
        <f t="shared" si="88"/>
        <v>83868.203020000001</v>
      </c>
      <c r="N129" s="29">
        <f t="shared" si="88"/>
        <v>333.09697999999719</v>
      </c>
      <c r="O129" s="68">
        <f t="shared" si="61"/>
        <v>99.604403993762574</v>
      </c>
      <c r="P129" s="71">
        <f t="shared" si="50"/>
        <v>97112.727040000012</v>
      </c>
      <c r="Q129" s="35">
        <f t="shared" si="51"/>
        <v>2.2699399999983143</v>
      </c>
      <c r="R129" s="72">
        <v>1103690</v>
      </c>
      <c r="S129" s="72">
        <f t="shared" si="52"/>
        <v>473432.79697999998</v>
      </c>
      <c r="T129" s="62">
        <f t="shared" si="73"/>
        <v>376320.06993999996</v>
      </c>
    </row>
    <row r="130" spans="1:20" s="73" customFormat="1" ht="63.75">
      <c r="A130" s="8"/>
      <c r="B130" s="12"/>
      <c r="C130" s="12" t="s">
        <v>25</v>
      </c>
      <c r="D130" s="11"/>
      <c r="E130" s="18"/>
      <c r="F130" s="139" t="s">
        <v>118</v>
      </c>
      <c r="G130" s="42">
        <f>G131</f>
        <v>557301</v>
      </c>
      <c r="H130" s="42">
        <f t="shared" ref="H130:N130" si="89">H131</f>
        <v>180983.2</v>
      </c>
      <c r="I130" s="42">
        <f t="shared" si="89"/>
        <v>84201.3</v>
      </c>
      <c r="J130" s="42">
        <f t="shared" si="89"/>
        <v>180980.93006000001</v>
      </c>
      <c r="K130" s="29">
        <f>'1.02.'!M120</f>
        <v>10083.11916</v>
      </c>
      <c r="L130" s="29">
        <f t="shared" si="89"/>
        <v>40429.583319999998</v>
      </c>
      <c r="M130" s="42">
        <f t="shared" si="89"/>
        <v>83868.203020000001</v>
      </c>
      <c r="N130" s="42">
        <f t="shared" si="89"/>
        <v>333.09697999999719</v>
      </c>
      <c r="O130" s="68">
        <f t="shared" si="61"/>
        <v>99.604403993762574</v>
      </c>
      <c r="P130" s="71">
        <f t="shared" si="50"/>
        <v>97112.727040000012</v>
      </c>
      <c r="Q130" s="35">
        <f t="shared" si="51"/>
        <v>2.2699399999983143</v>
      </c>
      <c r="R130" s="72">
        <v>1103691</v>
      </c>
      <c r="S130" s="72">
        <f t="shared" si="52"/>
        <v>473432.79697999998</v>
      </c>
      <c r="T130" s="62">
        <f t="shared" si="73"/>
        <v>376320.06993999996</v>
      </c>
    </row>
    <row r="131" spans="1:20" s="73" customFormat="1">
      <c r="A131" s="8"/>
      <c r="B131" s="12"/>
      <c r="C131" s="12"/>
      <c r="D131" s="11" t="s">
        <v>7</v>
      </c>
      <c r="E131" s="19"/>
      <c r="F131" s="140" t="s">
        <v>85</v>
      </c>
      <c r="G131" s="30">
        <f>SUM(G132:G148)</f>
        <v>557301</v>
      </c>
      <c r="H131" s="30">
        <f t="shared" ref="H131:N131" si="90">SUM(H132:H148)</f>
        <v>180983.2</v>
      </c>
      <c r="I131" s="30">
        <f t="shared" si="90"/>
        <v>84201.3</v>
      </c>
      <c r="J131" s="32">
        <f>SUM(J132:J148)</f>
        <v>180980.93006000001</v>
      </c>
      <c r="K131" s="29">
        <f>'1.02.'!M121</f>
        <v>10083.11916</v>
      </c>
      <c r="L131" s="32">
        <f>SUM(L132:L148)</f>
        <v>40429.583319999998</v>
      </c>
      <c r="M131" s="32">
        <f t="shared" si="90"/>
        <v>83868.203020000001</v>
      </c>
      <c r="N131" s="32">
        <f t="shared" si="90"/>
        <v>333.09697999999719</v>
      </c>
      <c r="O131" s="68">
        <f t="shared" si="61"/>
        <v>99.604403993762574</v>
      </c>
      <c r="P131" s="71">
        <f t="shared" si="50"/>
        <v>97112.727040000012</v>
      </c>
      <c r="Q131" s="35">
        <f t="shared" si="51"/>
        <v>2.2699399999983143</v>
      </c>
      <c r="R131" s="72">
        <v>1103692</v>
      </c>
      <c r="S131" s="72">
        <f t="shared" si="52"/>
        <v>473432.79697999998</v>
      </c>
      <c r="T131" s="62">
        <f t="shared" si="73"/>
        <v>376320.06993999996</v>
      </c>
    </row>
    <row r="132" spans="1:20">
      <c r="A132" s="8"/>
      <c r="B132" s="13"/>
      <c r="C132" s="13"/>
      <c r="D132" s="14"/>
      <c r="E132" s="20">
        <v>111</v>
      </c>
      <c r="F132" s="136" t="s">
        <v>86</v>
      </c>
      <c r="G132" s="34">
        <v>288321</v>
      </c>
      <c r="H132" s="34">
        <v>39399.300000000003</v>
      </c>
      <c r="I132" s="34">
        <v>39399.300000000003</v>
      </c>
      <c r="J132" s="75">
        <f>M132</f>
        <v>39399.300000000003</v>
      </c>
      <c r="K132" s="35">
        <f>'1.03.'!M122</f>
        <v>20799.272000000001</v>
      </c>
      <c r="L132" s="36">
        <v>18600.027999999998</v>
      </c>
      <c r="M132" s="92">
        <f t="shared" si="78"/>
        <v>39399.300000000003</v>
      </c>
      <c r="N132" s="93">
        <f>I132-M132</f>
        <v>0</v>
      </c>
      <c r="O132" s="70">
        <f t="shared" si="61"/>
        <v>100</v>
      </c>
      <c r="P132" s="71">
        <f t="shared" si="50"/>
        <v>0</v>
      </c>
      <c r="Q132" s="35">
        <f t="shared" si="51"/>
        <v>0</v>
      </c>
      <c r="R132" s="72">
        <v>1103693</v>
      </c>
      <c r="S132" s="72">
        <f t="shared" si="52"/>
        <v>248921.7</v>
      </c>
      <c r="T132" s="62">
        <f t="shared" si="73"/>
        <v>248921.7</v>
      </c>
    </row>
    <row r="133" spans="1:20">
      <c r="A133" s="8"/>
      <c r="B133" s="13"/>
      <c r="C133" s="13"/>
      <c r="D133" s="14"/>
      <c r="E133" s="20">
        <v>112</v>
      </c>
      <c r="F133" s="136" t="s">
        <v>87</v>
      </c>
      <c r="G133" s="34"/>
      <c r="H133" s="34"/>
      <c r="I133" s="34"/>
      <c r="J133" s="75">
        <f t="shared" ref="J133:J147" si="91">M133</f>
        <v>0</v>
      </c>
      <c r="K133" s="35">
        <f>'1.03.'!M123</f>
        <v>0</v>
      </c>
      <c r="L133" s="36"/>
      <c r="M133" s="92">
        <f t="shared" si="78"/>
        <v>0</v>
      </c>
      <c r="N133" s="93">
        <f>I133-M133</f>
        <v>0</v>
      </c>
      <c r="O133" s="70" t="e">
        <f t="shared" si="61"/>
        <v>#DIV/0!</v>
      </c>
      <c r="P133" s="71">
        <f t="shared" si="50"/>
        <v>0</v>
      </c>
      <c r="Q133" s="35">
        <f t="shared" si="51"/>
        <v>0</v>
      </c>
      <c r="R133" s="72">
        <v>1103694</v>
      </c>
      <c r="S133" s="72">
        <f t="shared" si="52"/>
        <v>0</v>
      </c>
    </row>
    <row r="134" spans="1:20">
      <c r="A134" s="8"/>
      <c r="B134" s="15"/>
      <c r="C134" s="15"/>
      <c r="D134" s="16"/>
      <c r="E134" s="20">
        <v>113</v>
      </c>
      <c r="F134" s="136" t="s">
        <v>88</v>
      </c>
      <c r="G134" s="34">
        <v>7446</v>
      </c>
      <c r="H134" s="34">
        <v>856</v>
      </c>
      <c r="I134" s="34">
        <v>856</v>
      </c>
      <c r="J134" s="75">
        <f t="shared" si="91"/>
        <v>856</v>
      </c>
      <c r="K134" s="35">
        <f>'1.03.'!M124</f>
        <v>410.36099999999999</v>
      </c>
      <c r="L134" s="36">
        <v>445.63900000000001</v>
      </c>
      <c r="M134" s="92">
        <f t="shared" si="78"/>
        <v>856</v>
      </c>
      <c r="N134" s="93">
        <f t="shared" si="79"/>
        <v>0</v>
      </c>
      <c r="O134" s="70">
        <f t="shared" si="61"/>
        <v>100</v>
      </c>
      <c r="P134" s="71">
        <f t="shared" si="50"/>
        <v>0</v>
      </c>
      <c r="Q134" s="35">
        <f t="shared" si="51"/>
        <v>0</v>
      </c>
      <c r="R134" s="72">
        <v>1103695</v>
      </c>
      <c r="S134" s="72">
        <f t="shared" si="52"/>
        <v>6590</v>
      </c>
      <c r="T134" s="62">
        <f t="shared" si="73"/>
        <v>6590</v>
      </c>
    </row>
    <row r="135" spans="1:20">
      <c r="A135" s="8"/>
      <c r="B135" s="15"/>
      <c r="C135" s="15"/>
      <c r="D135" s="16"/>
      <c r="E135" s="69">
        <v>116</v>
      </c>
      <c r="F135" s="136" t="s">
        <v>89</v>
      </c>
      <c r="G135" s="34">
        <v>9009</v>
      </c>
      <c r="H135" s="34">
        <v>572</v>
      </c>
      <c r="I135" s="34">
        <v>572</v>
      </c>
      <c r="J135" s="75">
        <f t="shared" si="91"/>
        <v>571.774</v>
      </c>
      <c r="K135" s="35">
        <f>'1.03.'!M125</f>
        <v>298.71800000000002</v>
      </c>
      <c r="L135" s="36">
        <v>273.05599999999998</v>
      </c>
      <c r="M135" s="92">
        <f>K135+L135</f>
        <v>571.774</v>
      </c>
      <c r="N135" s="93">
        <f>I135-M135</f>
        <v>0.22599999999999909</v>
      </c>
      <c r="O135" s="70">
        <f>M135/I135*100</f>
        <v>99.960489510489509</v>
      </c>
      <c r="P135" s="71">
        <f t="shared" si="50"/>
        <v>0</v>
      </c>
      <c r="Q135" s="35">
        <f t="shared" si="51"/>
        <v>0.22599999999999909</v>
      </c>
      <c r="R135" s="72">
        <v>1103696</v>
      </c>
      <c r="S135" s="72">
        <f t="shared" si="52"/>
        <v>8437.2260000000006</v>
      </c>
    </row>
    <row r="136" spans="1:20">
      <c r="A136" s="8"/>
      <c r="B136" s="15"/>
      <c r="C136" s="15"/>
      <c r="D136" s="16"/>
      <c r="E136" s="20">
        <v>121</v>
      </c>
      <c r="F136" s="136" t="s">
        <v>90</v>
      </c>
      <c r="G136" s="34">
        <v>14861</v>
      </c>
      <c r="H136" s="34">
        <v>2015.3</v>
      </c>
      <c r="I136" s="34">
        <v>2015.3</v>
      </c>
      <c r="J136" s="75">
        <f t="shared" si="91"/>
        <v>2015.0259999999998</v>
      </c>
      <c r="K136" s="35">
        <f>'1.03.'!M126</f>
        <v>1031.3</v>
      </c>
      <c r="L136" s="36">
        <v>983.726</v>
      </c>
      <c r="M136" s="92">
        <f t="shared" si="78"/>
        <v>2015.0259999999998</v>
      </c>
      <c r="N136" s="93">
        <f t="shared" si="79"/>
        <v>0.2740000000001146</v>
      </c>
      <c r="O136" s="70">
        <f t="shared" si="61"/>
        <v>99.986404009328638</v>
      </c>
      <c r="P136" s="71">
        <f t="shared" si="50"/>
        <v>0</v>
      </c>
      <c r="Q136" s="35">
        <f t="shared" si="51"/>
        <v>0.2740000000001146</v>
      </c>
      <c r="R136" s="72">
        <v>1103697</v>
      </c>
      <c r="S136" s="72">
        <f t="shared" si="52"/>
        <v>12845.974</v>
      </c>
      <c r="T136" s="62">
        <f t="shared" si="73"/>
        <v>12845.974</v>
      </c>
    </row>
    <row r="137" spans="1:20" ht="25.5">
      <c r="A137" s="8"/>
      <c r="B137" s="15"/>
      <c r="C137" s="15"/>
      <c r="D137" s="16"/>
      <c r="E137" s="20">
        <v>122</v>
      </c>
      <c r="F137" s="136" t="s">
        <v>91</v>
      </c>
      <c r="G137" s="37">
        <v>12910</v>
      </c>
      <c r="H137" s="37">
        <v>2022.9</v>
      </c>
      <c r="I137" s="37">
        <v>2022.9</v>
      </c>
      <c r="J137" s="75">
        <f t="shared" si="91"/>
        <v>2021.78</v>
      </c>
      <c r="K137" s="35">
        <f>'1.03.'!M127</f>
        <v>752.83799999999997</v>
      </c>
      <c r="L137" s="35">
        <v>1268.942</v>
      </c>
      <c r="M137" s="92">
        <f t="shared" si="78"/>
        <v>2021.78</v>
      </c>
      <c r="N137" s="93">
        <f t="shared" si="79"/>
        <v>1.1200000000001182</v>
      </c>
      <c r="O137" s="70">
        <f t="shared" si="61"/>
        <v>99.944633941371293</v>
      </c>
      <c r="P137" s="71">
        <f t="shared" si="50"/>
        <v>0</v>
      </c>
      <c r="Q137" s="35">
        <f t="shared" si="51"/>
        <v>1.1200000000001182</v>
      </c>
      <c r="R137" s="72">
        <v>1103698</v>
      </c>
      <c r="S137" s="72">
        <f t="shared" si="52"/>
        <v>10888.22</v>
      </c>
      <c r="T137" s="62">
        <f t="shared" si="73"/>
        <v>10888.22</v>
      </c>
    </row>
    <row r="138" spans="1:20">
      <c r="A138" s="8"/>
      <c r="B138" s="15"/>
      <c r="C138" s="15"/>
      <c r="D138" s="16"/>
      <c r="E138" s="20">
        <v>123</v>
      </c>
      <c r="F138" s="136" t="s">
        <v>92</v>
      </c>
      <c r="G138" s="34">
        <v>228</v>
      </c>
      <c r="H138" s="34"/>
      <c r="I138" s="34"/>
      <c r="J138" s="75">
        <f t="shared" si="91"/>
        <v>0</v>
      </c>
      <c r="K138" s="35">
        <f>'1.03.'!M128</f>
        <v>0</v>
      </c>
      <c r="L138" s="36"/>
      <c r="M138" s="92">
        <f t="shared" si="78"/>
        <v>0</v>
      </c>
      <c r="N138" s="93">
        <f t="shared" si="79"/>
        <v>0</v>
      </c>
      <c r="O138" s="70" t="e">
        <f t="shared" si="61"/>
        <v>#DIV/0!</v>
      </c>
      <c r="P138" s="71">
        <f t="shared" si="50"/>
        <v>0</v>
      </c>
      <c r="Q138" s="35">
        <f t="shared" si="51"/>
        <v>0</v>
      </c>
      <c r="R138" s="72">
        <v>1103699</v>
      </c>
      <c r="S138" s="72">
        <f t="shared" si="52"/>
        <v>228</v>
      </c>
      <c r="T138" s="62">
        <f t="shared" si="73"/>
        <v>228</v>
      </c>
    </row>
    <row r="139" spans="1:20">
      <c r="A139" s="9"/>
      <c r="B139" s="15"/>
      <c r="C139" s="15"/>
      <c r="D139" s="16"/>
      <c r="E139" s="20">
        <v>124</v>
      </c>
      <c r="F139" s="136" t="s">
        <v>93</v>
      </c>
      <c r="G139" s="37">
        <v>8607</v>
      </c>
      <c r="H139" s="37">
        <v>874.1</v>
      </c>
      <c r="I139" s="37">
        <v>874.1</v>
      </c>
      <c r="J139" s="75">
        <f t="shared" si="91"/>
        <v>873.91599999999994</v>
      </c>
      <c r="K139" s="35">
        <f>'1.03.'!M129</f>
        <v>467.06599999999997</v>
      </c>
      <c r="L139" s="35">
        <v>406.85</v>
      </c>
      <c r="M139" s="92">
        <f t="shared" si="78"/>
        <v>873.91599999999994</v>
      </c>
      <c r="N139" s="93">
        <f t="shared" si="79"/>
        <v>0.18400000000008276</v>
      </c>
      <c r="O139" s="70">
        <f t="shared" si="61"/>
        <v>99.978949776913382</v>
      </c>
      <c r="P139" s="71">
        <f t="shared" si="50"/>
        <v>0</v>
      </c>
      <c r="Q139" s="35">
        <f t="shared" si="51"/>
        <v>0.18400000000008276</v>
      </c>
      <c r="R139" s="72">
        <v>1103700</v>
      </c>
      <c r="S139" s="72">
        <f t="shared" si="52"/>
        <v>7733.0839999999998</v>
      </c>
      <c r="T139" s="62">
        <f t="shared" si="73"/>
        <v>7733.0839999999998</v>
      </c>
    </row>
    <row r="140" spans="1:20">
      <c r="A140" s="9"/>
      <c r="B140" s="15"/>
      <c r="C140" s="15"/>
      <c r="D140" s="16"/>
      <c r="E140" s="20">
        <v>141</v>
      </c>
      <c r="F140" s="136" t="s">
        <v>116</v>
      </c>
      <c r="G140" s="34">
        <v>138471</v>
      </c>
      <c r="H140" s="34">
        <v>96675.4</v>
      </c>
      <c r="I140" s="34">
        <v>6000</v>
      </c>
      <c r="J140" s="75">
        <v>96675.320110000001</v>
      </c>
      <c r="K140" s="35">
        <f>'1.03.'!M130</f>
        <v>0</v>
      </c>
      <c r="L140" s="36">
        <v>5677.64743</v>
      </c>
      <c r="M140" s="92">
        <f t="shared" si="78"/>
        <v>5677.64743</v>
      </c>
      <c r="N140" s="93">
        <f t="shared" si="79"/>
        <v>322.35257000000001</v>
      </c>
      <c r="O140" s="70">
        <f t="shared" si="61"/>
        <v>94.627457166666659</v>
      </c>
      <c r="P140" s="71">
        <f t="shared" si="50"/>
        <v>90997.672680000003</v>
      </c>
      <c r="Q140" s="35">
        <f t="shared" si="51"/>
        <v>7.9889999993611127E-2</v>
      </c>
      <c r="R140" s="72">
        <v>1103701</v>
      </c>
      <c r="S140" s="72">
        <f t="shared" si="52"/>
        <v>132793.35256999999</v>
      </c>
      <c r="T140" s="62">
        <f t="shared" si="73"/>
        <v>41795.679889999999</v>
      </c>
    </row>
    <row r="141" spans="1:20">
      <c r="A141" s="9"/>
      <c r="B141" s="15"/>
      <c r="C141" s="15"/>
      <c r="D141" s="16"/>
      <c r="E141" s="20">
        <v>144</v>
      </c>
      <c r="F141" s="136" t="s">
        <v>97</v>
      </c>
      <c r="G141" s="37">
        <v>1470</v>
      </c>
      <c r="H141" s="37">
        <v>1470</v>
      </c>
      <c r="I141" s="37"/>
      <c r="J141" s="75">
        <v>1470</v>
      </c>
      <c r="K141" s="35">
        <f>'1.03.'!M131</f>
        <v>0</v>
      </c>
      <c r="L141" s="36"/>
      <c r="M141" s="92">
        <f t="shared" si="78"/>
        <v>0</v>
      </c>
      <c r="N141" s="93">
        <f t="shared" si="79"/>
        <v>0</v>
      </c>
      <c r="O141" s="70" t="e">
        <f t="shared" si="61"/>
        <v>#DIV/0!</v>
      </c>
      <c r="P141" s="71">
        <f t="shared" si="50"/>
        <v>1470</v>
      </c>
      <c r="Q141" s="35">
        <f t="shared" si="51"/>
        <v>0</v>
      </c>
      <c r="R141" s="72">
        <v>1103702</v>
      </c>
      <c r="S141" s="72">
        <f t="shared" si="52"/>
        <v>1470</v>
      </c>
      <c r="T141" s="62">
        <f t="shared" si="73"/>
        <v>0</v>
      </c>
    </row>
    <row r="142" spans="1:20">
      <c r="A142" s="9"/>
      <c r="B142" s="15"/>
      <c r="C142" s="15"/>
      <c r="D142" s="16"/>
      <c r="E142" s="20">
        <v>149</v>
      </c>
      <c r="F142" s="136" t="s">
        <v>98</v>
      </c>
      <c r="G142" s="34">
        <v>5557</v>
      </c>
      <c r="H142" s="34">
        <v>1327.2</v>
      </c>
      <c r="I142" s="34">
        <v>1327.2</v>
      </c>
      <c r="J142" s="75">
        <f t="shared" si="91"/>
        <v>1327.2</v>
      </c>
      <c r="K142" s="35">
        <f>'1.03.'!M132</f>
        <v>0</v>
      </c>
      <c r="L142" s="35">
        <v>1327.2</v>
      </c>
      <c r="M142" s="93">
        <f t="shared" si="78"/>
        <v>1327.2</v>
      </c>
      <c r="N142" s="93">
        <f>I142-M142</f>
        <v>0</v>
      </c>
      <c r="O142" s="70">
        <f t="shared" si="61"/>
        <v>100</v>
      </c>
      <c r="P142" s="71">
        <f t="shared" si="50"/>
        <v>0</v>
      </c>
      <c r="Q142" s="35">
        <f t="shared" si="51"/>
        <v>0</v>
      </c>
      <c r="R142" s="72">
        <v>1103703</v>
      </c>
      <c r="S142" s="72">
        <f t="shared" si="52"/>
        <v>4229.8</v>
      </c>
      <c r="T142" s="62">
        <f t="shared" si="73"/>
        <v>4229.8</v>
      </c>
    </row>
    <row r="143" spans="1:20">
      <c r="A143" s="9"/>
      <c r="B143" s="15"/>
      <c r="C143" s="15"/>
      <c r="D143" s="16"/>
      <c r="E143" s="20">
        <v>151</v>
      </c>
      <c r="F143" s="136" t="s">
        <v>99</v>
      </c>
      <c r="G143" s="34">
        <v>60855</v>
      </c>
      <c r="H143" s="34">
        <v>29274</v>
      </c>
      <c r="I143" s="34">
        <v>29274</v>
      </c>
      <c r="J143" s="75">
        <f t="shared" si="91"/>
        <v>29273.958690000003</v>
      </c>
      <c r="K143" s="35">
        <f>'1.03.'!M133</f>
        <v>18590.449630000003</v>
      </c>
      <c r="L143" s="36">
        <v>10683.50906</v>
      </c>
      <c r="M143" s="93">
        <f t="shared" si="78"/>
        <v>29273.958690000003</v>
      </c>
      <c r="N143" s="93">
        <f t="shared" si="79"/>
        <v>4.1309999996883562E-2</v>
      </c>
      <c r="O143" s="70">
        <f t="shared" si="61"/>
        <v>99.999858885017431</v>
      </c>
      <c r="P143" s="71">
        <f t="shared" si="50"/>
        <v>0</v>
      </c>
      <c r="Q143" s="35">
        <f t="shared" si="51"/>
        <v>4.1309999996883562E-2</v>
      </c>
      <c r="R143" s="72">
        <v>1103704</v>
      </c>
      <c r="S143" s="72">
        <f t="shared" si="52"/>
        <v>31581.041309999997</v>
      </c>
      <c r="T143" s="62">
        <f t="shared" si="73"/>
        <v>31581.041309999997</v>
      </c>
    </row>
    <row r="144" spans="1:20">
      <c r="A144" s="9"/>
      <c r="B144" s="15"/>
      <c r="C144" s="15"/>
      <c r="D144" s="16"/>
      <c r="E144" s="20">
        <v>152</v>
      </c>
      <c r="F144" s="136" t="s">
        <v>100</v>
      </c>
      <c r="G144" s="34">
        <v>1940</v>
      </c>
      <c r="H144" s="34">
        <v>855</v>
      </c>
      <c r="I144" s="34">
        <v>221.5</v>
      </c>
      <c r="J144" s="75">
        <v>854.71015999999997</v>
      </c>
      <c r="K144" s="35">
        <f>'1.03.'!M134</f>
        <v>146.86462</v>
      </c>
      <c r="L144" s="36">
        <v>65.736279999999994</v>
      </c>
      <c r="M144" s="92">
        <f t="shared" si="78"/>
        <v>212.6009</v>
      </c>
      <c r="N144" s="93">
        <f t="shared" si="79"/>
        <v>8.8991000000000042</v>
      </c>
      <c r="O144" s="70">
        <f t="shared" si="61"/>
        <v>95.982347629796834</v>
      </c>
      <c r="P144" s="71">
        <f t="shared" si="50"/>
        <v>642.10925999999995</v>
      </c>
      <c r="Q144" s="35">
        <f t="shared" si="51"/>
        <v>0.28984000000002652</v>
      </c>
      <c r="R144" s="72">
        <v>1103705</v>
      </c>
      <c r="S144" s="72">
        <f t="shared" si="52"/>
        <v>1727.3991000000001</v>
      </c>
      <c r="T144" s="62">
        <f t="shared" si="73"/>
        <v>1085.2898399999999</v>
      </c>
    </row>
    <row r="145" spans="1:20" ht="25.5">
      <c r="A145" s="9"/>
      <c r="B145" s="15"/>
      <c r="C145" s="15"/>
      <c r="D145" s="16"/>
      <c r="E145" s="20">
        <v>158</v>
      </c>
      <c r="F145" s="136" t="s">
        <v>101</v>
      </c>
      <c r="G145" s="34">
        <f>730+900</f>
        <v>1630</v>
      </c>
      <c r="H145" s="34">
        <v>1630</v>
      </c>
      <c r="I145" s="34">
        <v>333</v>
      </c>
      <c r="J145" s="75">
        <v>1630</v>
      </c>
      <c r="K145" s="35">
        <f>'1.03.'!M135</f>
        <v>122</v>
      </c>
      <c r="L145" s="36">
        <v>211</v>
      </c>
      <c r="M145" s="92">
        <f t="shared" si="78"/>
        <v>333</v>
      </c>
      <c r="N145" s="93">
        <f t="shared" si="79"/>
        <v>0</v>
      </c>
      <c r="O145" s="70">
        <f t="shared" si="61"/>
        <v>100</v>
      </c>
      <c r="P145" s="71">
        <f t="shared" si="50"/>
        <v>1297</v>
      </c>
      <c r="Q145" s="35">
        <f t="shared" si="51"/>
        <v>0</v>
      </c>
      <c r="R145" s="72">
        <v>1103706</v>
      </c>
      <c r="S145" s="72">
        <f t="shared" si="52"/>
        <v>1297</v>
      </c>
      <c r="T145" s="62">
        <f t="shared" si="73"/>
        <v>0</v>
      </c>
    </row>
    <row r="146" spans="1:20">
      <c r="A146" s="9"/>
      <c r="B146" s="15"/>
      <c r="C146" s="15"/>
      <c r="D146" s="16"/>
      <c r="E146" s="20">
        <v>159</v>
      </c>
      <c r="F146" s="136" t="s">
        <v>84</v>
      </c>
      <c r="G146" s="34">
        <f>5598-900</f>
        <v>4698</v>
      </c>
      <c r="H146" s="34">
        <v>3166</v>
      </c>
      <c r="I146" s="34">
        <v>460</v>
      </c>
      <c r="J146" s="75">
        <v>3165.9450999999999</v>
      </c>
      <c r="K146" s="35">
        <f>'1.03.'!M136</f>
        <v>335.75045</v>
      </c>
      <c r="L146" s="36">
        <v>124.24955</v>
      </c>
      <c r="M146" s="92">
        <f t="shared" si="78"/>
        <v>460</v>
      </c>
      <c r="N146" s="93">
        <f t="shared" si="79"/>
        <v>0</v>
      </c>
      <c r="O146" s="70">
        <f t="shared" si="61"/>
        <v>100</v>
      </c>
      <c r="P146" s="71">
        <f t="shared" si="50"/>
        <v>2705.9450999999999</v>
      </c>
      <c r="Q146" s="35">
        <f t="shared" si="51"/>
        <v>5.4900000000088767E-2</v>
      </c>
      <c r="R146" s="72">
        <v>1103707</v>
      </c>
      <c r="S146" s="72">
        <f t="shared" si="52"/>
        <v>4238</v>
      </c>
      <c r="T146" s="62">
        <f t="shared" si="73"/>
        <v>1532.0549000000001</v>
      </c>
    </row>
    <row r="147" spans="1:20">
      <c r="A147" s="9"/>
      <c r="B147" s="15"/>
      <c r="C147" s="15"/>
      <c r="D147" s="16"/>
      <c r="E147" s="20">
        <v>161</v>
      </c>
      <c r="F147" s="136" t="s">
        <v>102</v>
      </c>
      <c r="G147" s="37"/>
      <c r="H147" s="37"/>
      <c r="I147" s="37"/>
      <c r="J147" s="75">
        <f t="shared" si="91"/>
        <v>0</v>
      </c>
      <c r="K147" s="35">
        <f>'1.03.'!M137</f>
        <v>0</v>
      </c>
      <c r="L147" s="35"/>
      <c r="M147" s="92">
        <f t="shared" si="78"/>
        <v>0</v>
      </c>
      <c r="N147" s="93">
        <f t="shared" si="79"/>
        <v>0</v>
      </c>
      <c r="O147" s="70" t="e">
        <f t="shared" si="61"/>
        <v>#DIV/0!</v>
      </c>
      <c r="P147" s="71">
        <f t="shared" si="50"/>
        <v>0</v>
      </c>
      <c r="Q147" s="35">
        <f t="shared" si="51"/>
        <v>0</v>
      </c>
      <c r="R147" s="72">
        <v>1103708</v>
      </c>
      <c r="S147" s="72">
        <f t="shared" si="52"/>
        <v>0</v>
      </c>
      <c r="T147" s="62">
        <f t="shared" si="73"/>
        <v>0</v>
      </c>
    </row>
    <row r="148" spans="1:20">
      <c r="A148" s="9"/>
      <c r="B148" s="15"/>
      <c r="C148" s="15"/>
      <c r="D148" s="16"/>
      <c r="E148" s="20">
        <v>169</v>
      </c>
      <c r="F148" s="136" t="s">
        <v>103</v>
      </c>
      <c r="G148" s="34">
        <v>1298</v>
      </c>
      <c r="H148" s="34">
        <v>846</v>
      </c>
      <c r="I148" s="34">
        <v>846</v>
      </c>
      <c r="J148" s="75">
        <v>846</v>
      </c>
      <c r="K148" s="35">
        <f>'1.03.'!M138</f>
        <v>484</v>
      </c>
      <c r="L148" s="36">
        <v>362</v>
      </c>
      <c r="M148" s="92">
        <f t="shared" si="78"/>
        <v>846</v>
      </c>
      <c r="N148" s="93">
        <f t="shared" si="79"/>
        <v>0</v>
      </c>
      <c r="O148" s="70">
        <f t="shared" si="61"/>
        <v>100</v>
      </c>
      <c r="P148" s="71">
        <f t="shared" ref="P148:P211" si="92">J148-M148</f>
        <v>0</v>
      </c>
      <c r="Q148" s="35">
        <f t="shared" ref="Q148:Q211" si="93">H148-J148</f>
        <v>0</v>
      </c>
      <c r="R148" s="72">
        <v>1103709</v>
      </c>
      <c r="S148" s="72">
        <f t="shared" ref="S148:S211" si="94">G148-M148</f>
        <v>452</v>
      </c>
      <c r="T148" s="62">
        <f t="shared" si="73"/>
        <v>452</v>
      </c>
    </row>
    <row r="149" spans="1:20" ht="25.5" hidden="1">
      <c r="A149" s="100"/>
      <c r="B149" s="15"/>
      <c r="C149" s="57" t="s">
        <v>43</v>
      </c>
      <c r="D149" s="16"/>
      <c r="E149" s="20"/>
      <c r="F149" s="3" t="s">
        <v>44</v>
      </c>
      <c r="G149" s="59">
        <f t="shared" ref="G149:N150" si="95">G150</f>
        <v>0</v>
      </c>
      <c r="H149" s="59">
        <f t="shared" si="95"/>
        <v>0</v>
      </c>
      <c r="I149" s="59">
        <f t="shared" si="95"/>
        <v>0</v>
      </c>
      <c r="J149" s="33">
        <f t="shared" si="95"/>
        <v>0</v>
      </c>
      <c r="K149" s="35">
        <f>'1.02.'!M139</f>
        <v>0</v>
      </c>
      <c r="L149" s="29">
        <f t="shared" si="95"/>
        <v>0</v>
      </c>
      <c r="M149" s="59">
        <f t="shared" si="95"/>
        <v>0</v>
      </c>
      <c r="N149" s="59">
        <f t="shared" si="95"/>
        <v>0</v>
      </c>
      <c r="O149" s="70"/>
      <c r="P149" s="71">
        <f t="shared" si="92"/>
        <v>0</v>
      </c>
      <c r="Q149" s="35">
        <f t="shared" si="93"/>
        <v>0</v>
      </c>
      <c r="R149" s="72">
        <v>1103710</v>
      </c>
      <c r="S149" s="72">
        <f t="shared" si="94"/>
        <v>0</v>
      </c>
    </row>
    <row r="150" spans="1:20" hidden="1">
      <c r="A150" s="9"/>
      <c r="B150" s="12"/>
      <c r="C150" s="12"/>
      <c r="D150" s="11" t="s">
        <v>7</v>
      </c>
      <c r="E150" s="97"/>
      <c r="F150" s="4" t="s">
        <v>22</v>
      </c>
      <c r="G150" s="98">
        <f>G151</f>
        <v>0</v>
      </c>
      <c r="H150" s="98">
        <f t="shared" si="95"/>
        <v>0</v>
      </c>
      <c r="I150" s="98">
        <f t="shared" si="95"/>
        <v>0</v>
      </c>
      <c r="J150" s="99">
        <f t="shared" si="95"/>
        <v>0</v>
      </c>
      <c r="K150" s="35">
        <f>'1.02.'!M140</f>
        <v>0</v>
      </c>
      <c r="L150" s="32">
        <f t="shared" si="95"/>
        <v>0</v>
      </c>
      <c r="M150" s="98">
        <f t="shared" si="95"/>
        <v>0</v>
      </c>
      <c r="N150" s="98">
        <f t="shared" si="95"/>
        <v>0</v>
      </c>
      <c r="O150" s="68" t="e">
        <f>M150/I150*100</f>
        <v>#DIV/0!</v>
      </c>
      <c r="P150" s="71">
        <f t="shared" si="92"/>
        <v>0</v>
      </c>
      <c r="Q150" s="35">
        <f t="shared" si="93"/>
        <v>0</v>
      </c>
      <c r="R150" s="72">
        <v>1103711</v>
      </c>
      <c r="S150" s="72">
        <f t="shared" si="94"/>
        <v>0</v>
      </c>
      <c r="T150" s="62">
        <f>G150-J150</f>
        <v>0</v>
      </c>
    </row>
    <row r="151" spans="1:20" ht="25.5" hidden="1">
      <c r="A151" s="9"/>
      <c r="B151" s="13"/>
      <c r="C151" s="13"/>
      <c r="D151" s="14"/>
      <c r="E151" s="20">
        <v>414</v>
      </c>
      <c r="F151" s="86" t="s">
        <v>64</v>
      </c>
      <c r="G151" s="37"/>
      <c r="H151" s="37"/>
      <c r="I151" s="37"/>
      <c r="J151" s="75"/>
      <c r="K151" s="35">
        <f>'1.02.'!M141</f>
        <v>0</v>
      </c>
      <c r="L151" s="71"/>
      <c r="M151" s="93">
        <f t="shared" si="78"/>
        <v>0</v>
      </c>
      <c r="N151" s="93">
        <f>I151-M151</f>
        <v>0</v>
      </c>
      <c r="O151" s="70"/>
      <c r="P151" s="71">
        <f t="shared" si="92"/>
        <v>0</v>
      </c>
      <c r="Q151" s="35">
        <f t="shared" si="93"/>
        <v>0</v>
      </c>
      <c r="R151" s="72">
        <v>1103712</v>
      </c>
      <c r="S151" s="72">
        <f t="shared" si="94"/>
        <v>0</v>
      </c>
    </row>
    <row r="152" spans="1:20" s="73" customFormat="1">
      <c r="A152" s="8"/>
      <c r="B152" s="8" t="s">
        <v>14</v>
      </c>
      <c r="C152" s="8"/>
      <c r="D152" s="21"/>
      <c r="E152" s="21"/>
      <c r="F152" s="139" t="s">
        <v>120</v>
      </c>
      <c r="G152" s="59">
        <f>G153+G173</f>
        <v>316128</v>
      </c>
      <c r="H152" s="59">
        <f t="shared" ref="H152:N152" si="96">H153+H173</f>
        <v>90180</v>
      </c>
      <c r="I152" s="59">
        <f t="shared" si="96"/>
        <v>70336</v>
      </c>
      <c r="J152" s="29">
        <f t="shared" si="96"/>
        <v>89720.64933</v>
      </c>
      <c r="K152" s="35">
        <f>'1.02.'!M142</f>
        <v>18632.26413</v>
      </c>
      <c r="L152" s="29">
        <f t="shared" si="96"/>
        <v>23362.145070000002</v>
      </c>
      <c r="M152" s="29">
        <f t="shared" si="96"/>
        <v>70325.834269999992</v>
      </c>
      <c r="N152" s="29">
        <f t="shared" si="96"/>
        <v>10.16572999999994</v>
      </c>
      <c r="O152" s="68">
        <f t="shared" si="61"/>
        <v>99.985546903434937</v>
      </c>
      <c r="P152" s="71">
        <f t="shared" si="92"/>
        <v>19394.815060000008</v>
      </c>
      <c r="Q152" s="35">
        <f t="shared" si="93"/>
        <v>459.35066999999981</v>
      </c>
      <c r="R152" s="72">
        <v>1103713</v>
      </c>
      <c r="S152" s="72">
        <f t="shared" si="94"/>
        <v>245802.16573000001</v>
      </c>
      <c r="T152" s="62">
        <f t="shared" ref="T152:T230" si="97">G152-J152</f>
        <v>226407.35067000001</v>
      </c>
    </row>
    <row r="153" spans="1:20" ht="38.25">
      <c r="A153" s="8"/>
      <c r="B153" s="8"/>
      <c r="C153" s="17" t="s">
        <v>38</v>
      </c>
      <c r="D153" s="17"/>
      <c r="E153" s="21"/>
      <c r="F153" s="139" t="s">
        <v>121</v>
      </c>
      <c r="G153" s="42">
        <f>G154</f>
        <v>316128</v>
      </c>
      <c r="H153" s="42">
        <f t="shared" ref="H153:N153" si="98">H154</f>
        <v>90180</v>
      </c>
      <c r="I153" s="42">
        <f t="shared" si="98"/>
        <v>70336</v>
      </c>
      <c r="J153" s="29">
        <f t="shared" si="98"/>
        <v>89720.64933</v>
      </c>
      <c r="K153" s="29">
        <f>'1.02.'!M143</f>
        <v>18632.26413</v>
      </c>
      <c r="L153" s="29">
        <f t="shared" si="98"/>
        <v>23362.145070000002</v>
      </c>
      <c r="M153" s="42">
        <f t="shared" si="98"/>
        <v>70325.834269999992</v>
      </c>
      <c r="N153" s="29">
        <f t="shared" si="98"/>
        <v>10.16572999999994</v>
      </c>
      <c r="O153" s="68">
        <f t="shared" si="61"/>
        <v>99.985546903434937</v>
      </c>
      <c r="P153" s="71">
        <f t="shared" si="92"/>
        <v>19394.815060000008</v>
      </c>
      <c r="Q153" s="35">
        <f t="shared" si="93"/>
        <v>459.35066999999981</v>
      </c>
      <c r="R153" s="72">
        <v>1103714</v>
      </c>
      <c r="S153" s="72">
        <f t="shared" si="94"/>
        <v>245802.16573000001</v>
      </c>
      <c r="T153" s="62">
        <f t="shared" si="97"/>
        <v>226407.35067000001</v>
      </c>
    </row>
    <row r="154" spans="1:20">
      <c r="A154" s="8"/>
      <c r="B154" s="8"/>
      <c r="C154" s="17"/>
      <c r="D154" s="17" t="s">
        <v>7</v>
      </c>
      <c r="E154" s="10"/>
      <c r="F154" s="140" t="s">
        <v>85</v>
      </c>
      <c r="G154" s="40">
        <f>SUM(G155:G172)</f>
        <v>316128</v>
      </c>
      <c r="H154" s="40">
        <f>SUM(H155:H172)</f>
        <v>90180</v>
      </c>
      <c r="I154" s="40">
        <f>SUM(I155:I172)</f>
        <v>70336</v>
      </c>
      <c r="J154" s="24">
        <f t="shared" ref="J154:M154" si="99">SUM(J155:J172)</f>
        <v>89720.64933</v>
      </c>
      <c r="K154" s="35">
        <f>'1.02.'!M144</f>
        <v>18632.26413</v>
      </c>
      <c r="L154" s="24">
        <f>SUM(L155:L172)</f>
        <v>23362.145070000002</v>
      </c>
      <c r="M154" s="24">
        <f t="shared" si="99"/>
        <v>70325.834269999992</v>
      </c>
      <c r="N154" s="24">
        <f>SUM(N155:N172)</f>
        <v>10.16572999999994</v>
      </c>
      <c r="O154" s="66">
        <f t="shared" si="61"/>
        <v>99.985546903434937</v>
      </c>
      <c r="P154" s="71">
        <f t="shared" si="92"/>
        <v>19394.815060000008</v>
      </c>
      <c r="Q154" s="35">
        <f t="shared" si="93"/>
        <v>459.35066999999981</v>
      </c>
      <c r="R154" s="72">
        <v>1103715</v>
      </c>
      <c r="S154" s="72">
        <f t="shared" si="94"/>
        <v>245802.16573000001</v>
      </c>
      <c r="T154" s="62">
        <f t="shared" si="97"/>
        <v>226407.35067000001</v>
      </c>
    </row>
    <row r="155" spans="1:20">
      <c r="A155" s="8"/>
      <c r="B155" s="9"/>
      <c r="C155" s="9"/>
      <c r="D155" s="69"/>
      <c r="E155" s="69">
        <v>111</v>
      </c>
      <c r="F155" s="136" t="s">
        <v>86</v>
      </c>
      <c r="G155" s="26">
        <v>216606</v>
      </c>
      <c r="H155" s="26">
        <v>52000</v>
      </c>
      <c r="I155" s="26">
        <v>52000</v>
      </c>
      <c r="J155" s="105">
        <f>M155</f>
        <v>52000</v>
      </c>
      <c r="K155" s="35">
        <f>'1.03.'!M145</f>
        <v>34000</v>
      </c>
      <c r="L155" s="27">
        <v>18000</v>
      </c>
      <c r="M155" s="92">
        <f t="shared" si="78"/>
        <v>52000</v>
      </c>
      <c r="N155" s="93">
        <f t="shared" si="79"/>
        <v>0</v>
      </c>
      <c r="O155" s="70">
        <f t="shared" si="61"/>
        <v>100</v>
      </c>
      <c r="P155" s="71">
        <f t="shared" si="92"/>
        <v>0</v>
      </c>
      <c r="Q155" s="35">
        <f t="shared" si="93"/>
        <v>0</v>
      </c>
      <c r="R155" s="72">
        <v>1103716</v>
      </c>
      <c r="S155" s="72">
        <f t="shared" si="94"/>
        <v>164606</v>
      </c>
      <c r="T155" s="62">
        <f t="shared" si="97"/>
        <v>164606</v>
      </c>
    </row>
    <row r="156" spans="1:20">
      <c r="A156" s="8"/>
      <c r="B156" s="9"/>
      <c r="C156" s="9"/>
      <c r="D156" s="69"/>
      <c r="E156" s="69">
        <v>112</v>
      </c>
      <c r="F156" s="136" t="s">
        <v>87</v>
      </c>
      <c r="G156" s="26"/>
      <c r="H156" s="26"/>
      <c r="I156" s="26"/>
      <c r="J156" s="105">
        <f t="shared" ref="J156:J167" si="100">M156</f>
        <v>0</v>
      </c>
      <c r="K156" s="35">
        <f>'1.03.'!M146</f>
        <v>0</v>
      </c>
      <c r="L156" s="27"/>
      <c r="M156" s="92">
        <f t="shared" si="78"/>
        <v>0</v>
      </c>
      <c r="N156" s="93">
        <f t="shared" si="79"/>
        <v>0</v>
      </c>
      <c r="O156" s="70" t="e">
        <f t="shared" si="61"/>
        <v>#DIV/0!</v>
      </c>
      <c r="P156" s="71">
        <f t="shared" si="92"/>
        <v>0</v>
      </c>
      <c r="Q156" s="35">
        <f t="shared" si="93"/>
        <v>0</v>
      </c>
      <c r="R156" s="72">
        <v>1103717</v>
      </c>
      <c r="S156" s="72">
        <f t="shared" si="94"/>
        <v>0</v>
      </c>
    </row>
    <row r="157" spans="1:20">
      <c r="A157" s="8"/>
      <c r="B157" s="9"/>
      <c r="C157" s="9"/>
      <c r="D157" s="69"/>
      <c r="E157" s="76">
        <v>113</v>
      </c>
      <c r="F157" s="136" t="s">
        <v>88</v>
      </c>
      <c r="G157" s="26">
        <v>8519</v>
      </c>
      <c r="H157" s="26">
        <v>601</v>
      </c>
      <c r="I157" s="26">
        <v>601</v>
      </c>
      <c r="J157" s="105">
        <f t="shared" si="100"/>
        <v>601</v>
      </c>
      <c r="K157" s="35">
        <f>'1.03.'!M147</f>
        <v>400</v>
      </c>
      <c r="L157" s="27">
        <v>201</v>
      </c>
      <c r="M157" s="92">
        <f t="shared" si="78"/>
        <v>601</v>
      </c>
      <c r="N157" s="93">
        <f t="shared" si="79"/>
        <v>0</v>
      </c>
      <c r="O157" s="70">
        <f t="shared" si="61"/>
        <v>100</v>
      </c>
      <c r="P157" s="71">
        <f t="shared" si="92"/>
        <v>0</v>
      </c>
      <c r="Q157" s="35">
        <f t="shared" si="93"/>
        <v>0</v>
      </c>
      <c r="R157" s="72">
        <v>1103718</v>
      </c>
      <c r="S157" s="72">
        <f t="shared" si="94"/>
        <v>7918</v>
      </c>
      <c r="T157" s="62">
        <f t="shared" si="97"/>
        <v>7918</v>
      </c>
    </row>
    <row r="158" spans="1:20">
      <c r="A158" s="8"/>
      <c r="B158" s="9"/>
      <c r="C158" s="9"/>
      <c r="D158" s="69"/>
      <c r="E158" s="69">
        <v>116</v>
      </c>
      <c r="F158" s="136" t="s">
        <v>89</v>
      </c>
      <c r="G158" s="26">
        <v>2134</v>
      </c>
      <c r="H158" s="26">
        <v>510</v>
      </c>
      <c r="I158" s="26">
        <v>510</v>
      </c>
      <c r="J158" s="105">
        <f t="shared" si="100"/>
        <v>510</v>
      </c>
      <c r="K158" s="35">
        <f>'1.03.'!M148</f>
        <v>340</v>
      </c>
      <c r="L158" s="27">
        <v>170</v>
      </c>
      <c r="M158" s="92">
        <f>K158+L158</f>
        <v>510</v>
      </c>
      <c r="N158" s="93">
        <f>I158-M158</f>
        <v>0</v>
      </c>
      <c r="O158" s="70">
        <f>M158/I158*100</f>
        <v>100</v>
      </c>
      <c r="P158" s="71">
        <f t="shared" si="92"/>
        <v>0</v>
      </c>
      <c r="Q158" s="35">
        <f t="shared" si="93"/>
        <v>0</v>
      </c>
      <c r="R158" s="72">
        <v>1103719</v>
      </c>
      <c r="S158" s="72">
        <f t="shared" si="94"/>
        <v>1624</v>
      </c>
    </row>
    <row r="159" spans="1:20">
      <c r="A159" s="8"/>
      <c r="B159" s="9"/>
      <c r="C159" s="9"/>
      <c r="D159" s="69"/>
      <c r="E159" s="69">
        <v>121</v>
      </c>
      <c r="F159" s="136" t="s">
        <v>90</v>
      </c>
      <c r="G159" s="26">
        <v>11697</v>
      </c>
      <c r="H159" s="26">
        <v>2910</v>
      </c>
      <c r="I159" s="26">
        <v>2910</v>
      </c>
      <c r="J159" s="105">
        <f t="shared" si="100"/>
        <v>2910</v>
      </c>
      <c r="K159" s="35">
        <f>'1.03.'!M149</f>
        <v>1930</v>
      </c>
      <c r="L159" s="27">
        <v>980</v>
      </c>
      <c r="M159" s="92">
        <f t="shared" si="78"/>
        <v>2910</v>
      </c>
      <c r="N159" s="93">
        <f t="shared" si="79"/>
        <v>0</v>
      </c>
      <c r="O159" s="70">
        <f t="shared" ref="O159:O226" si="101">M159/I159*100</f>
        <v>100</v>
      </c>
      <c r="P159" s="71">
        <f t="shared" si="92"/>
        <v>0</v>
      </c>
      <c r="Q159" s="35">
        <f t="shared" si="93"/>
        <v>0</v>
      </c>
      <c r="R159" s="72">
        <v>1103720</v>
      </c>
      <c r="S159" s="72">
        <f t="shared" si="94"/>
        <v>8787</v>
      </c>
      <c r="T159" s="62">
        <f t="shared" si="97"/>
        <v>8787</v>
      </c>
    </row>
    <row r="160" spans="1:20" ht="25.5">
      <c r="A160" s="8"/>
      <c r="B160" s="9"/>
      <c r="C160" s="9"/>
      <c r="D160" s="69"/>
      <c r="E160" s="69">
        <v>122</v>
      </c>
      <c r="F160" s="136" t="s">
        <v>91</v>
      </c>
      <c r="G160" s="26">
        <v>9747</v>
      </c>
      <c r="H160" s="26">
        <v>2090</v>
      </c>
      <c r="I160" s="26">
        <v>2090</v>
      </c>
      <c r="J160" s="105">
        <f t="shared" si="100"/>
        <v>2090</v>
      </c>
      <c r="K160" s="35">
        <f>'1.03.'!M150</f>
        <v>1385.789</v>
      </c>
      <c r="L160" s="27">
        <v>704.21100000000001</v>
      </c>
      <c r="M160" s="92">
        <f t="shared" si="78"/>
        <v>2090</v>
      </c>
      <c r="N160" s="93">
        <f t="shared" si="79"/>
        <v>0</v>
      </c>
      <c r="O160" s="70">
        <f t="shared" si="101"/>
        <v>100</v>
      </c>
      <c r="P160" s="71">
        <f t="shared" si="92"/>
        <v>0</v>
      </c>
      <c r="Q160" s="35">
        <f t="shared" si="93"/>
        <v>0</v>
      </c>
      <c r="R160" s="72">
        <v>1103721</v>
      </c>
      <c r="S160" s="72">
        <f t="shared" si="94"/>
        <v>7657</v>
      </c>
      <c r="T160" s="62">
        <f t="shared" si="97"/>
        <v>7657</v>
      </c>
    </row>
    <row r="161" spans="1:20">
      <c r="A161" s="8"/>
      <c r="B161" s="9"/>
      <c r="C161" s="9"/>
      <c r="D161" s="69"/>
      <c r="E161" s="69">
        <v>123</v>
      </c>
      <c r="F161" s="136" t="s">
        <v>92</v>
      </c>
      <c r="G161" s="26">
        <v>235</v>
      </c>
      <c r="H161" s="26">
        <v>65</v>
      </c>
      <c r="I161" s="26">
        <v>65</v>
      </c>
      <c r="J161" s="105">
        <f t="shared" si="100"/>
        <v>65</v>
      </c>
      <c r="K161" s="35">
        <f>'1.03.'!M151</f>
        <v>0</v>
      </c>
      <c r="L161" s="27">
        <v>65</v>
      </c>
      <c r="M161" s="92">
        <f t="shared" si="78"/>
        <v>65</v>
      </c>
      <c r="N161" s="93">
        <f t="shared" si="79"/>
        <v>0</v>
      </c>
      <c r="O161" s="70">
        <f t="shared" si="101"/>
        <v>100</v>
      </c>
      <c r="P161" s="71">
        <f t="shared" si="92"/>
        <v>0</v>
      </c>
      <c r="Q161" s="35">
        <f t="shared" si="93"/>
        <v>0</v>
      </c>
      <c r="R161" s="72">
        <v>1103722</v>
      </c>
      <c r="S161" s="72">
        <f t="shared" si="94"/>
        <v>170</v>
      </c>
      <c r="T161" s="62">
        <f t="shared" si="97"/>
        <v>170</v>
      </c>
    </row>
    <row r="162" spans="1:20">
      <c r="A162" s="9"/>
      <c r="B162" s="9"/>
      <c r="C162" s="9"/>
      <c r="D162" s="69"/>
      <c r="E162" s="69">
        <v>124</v>
      </c>
      <c r="F162" s="136" t="s">
        <v>93</v>
      </c>
      <c r="G162" s="26">
        <v>6378</v>
      </c>
      <c r="H162" s="26">
        <v>1250</v>
      </c>
      <c r="I162" s="26">
        <v>1250</v>
      </c>
      <c r="J162" s="105">
        <f t="shared" si="100"/>
        <v>1250</v>
      </c>
      <c r="K162" s="35">
        <f>'1.03.'!M152</f>
        <v>900</v>
      </c>
      <c r="L162" s="27">
        <v>350</v>
      </c>
      <c r="M162" s="92">
        <f t="shared" si="78"/>
        <v>1250</v>
      </c>
      <c r="N162" s="93">
        <f t="shared" si="79"/>
        <v>0</v>
      </c>
      <c r="O162" s="70">
        <f t="shared" si="101"/>
        <v>100</v>
      </c>
      <c r="P162" s="71">
        <f t="shared" si="92"/>
        <v>0</v>
      </c>
      <c r="Q162" s="35">
        <f t="shared" si="93"/>
        <v>0</v>
      </c>
      <c r="R162" s="72">
        <v>1103723</v>
      </c>
      <c r="S162" s="72">
        <f t="shared" si="94"/>
        <v>5128</v>
      </c>
      <c r="T162" s="62">
        <f t="shared" si="97"/>
        <v>5128</v>
      </c>
    </row>
    <row r="163" spans="1:20" s="73" customFormat="1">
      <c r="A163" s="9"/>
      <c r="B163" s="9"/>
      <c r="C163" s="9"/>
      <c r="D163" s="69"/>
      <c r="E163" s="69">
        <v>141</v>
      </c>
      <c r="F163" s="136" t="s">
        <v>116</v>
      </c>
      <c r="G163" s="26">
        <v>20147</v>
      </c>
      <c r="H163" s="26">
        <v>18580</v>
      </c>
      <c r="I163" s="26">
        <v>4600</v>
      </c>
      <c r="J163" s="105">
        <v>18579.949199999999</v>
      </c>
      <c r="K163" s="35">
        <f>'1.03.'!M153</f>
        <v>3600</v>
      </c>
      <c r="L163" s="27">
        <v>1000</v>
      </c>
      <c r="M163" s="92">
        <f t="shared" si="78"/>
        <v>4600</v>
      </c>
      <c r="N163" s="93">
        <f t="shared" si="79"/>
        <v>0</v>
      </c>
      <c r="O163" s="70">
        <f t="shared" si="101"/>
        <v>100</v>
      </c>
      <c r="P163" s="71">
        <f t="shared" si="92"/>
        <v>13979.949199999999</v>
      </c>
      <c r="Q163" s="35">
        <f t="shared" si="93"/>
        <v>5.0800000000890577E-2</v>
      </c>
      <c r="R163" s="72">
        <v>1103724</v>
      </c>
      <c r="S163" s="72">
        <f t="shared" si="94"/>
        <v>15547</v>
      </c>
      <c r="T163" s="62">
        <f t="shared" si="97"/>
        <v>1567.0508000000009</v>
      </c>
    </row>
    <row r="164" spans="1:20" ht="25.5">
      <c r="A164" s="9"/>
      <c r="B164" s="9"/>
      <c r="C164" s="9"/>
      <c r="D164" s="69"/>
      <c r="E164" s="69">
        <v>142</v>
      </c>
      <c r="F164" s="136" t="s">
        <v>122</v>
      </c>
      <c r="G164" s="26">
        <v>2651</v>
      </c>
      <c r="H164" s="26"/>
      <c r="I164" s="26"/>
      <c r="J164" s="105">
        <f t="shared" si="100"/>
        <v>0</v>
      </c>
      <c r="K164" s="35">
        <f>'1.03.'!M154</f>
        <v>0</v>
      </c>
      <c r="L164" s="27"/>
      <c r="M164" s="92">
        <f t="shared" si="78"/>
        <v>0</v>
      </c>
      <c r="N164" s="93">
        <f t="shared" si="79"/>
        <v>0</v>
      </c>
      <c r="O164" s="70" t="e">
        <f t="shared" si="101"/>
        <v>#DIV/0!</v>
      </c>
      <c r="P164" s="71">
        <f t="shared" si="92"/>
        <v>0</v>
      </c>
      <c r="Q164" s="35">
        <f t="shared" si="93"/>
        <v>0</v>
      </c>
      <c r="R164" s="72">
        <v>1103725</v>
      </c>
      <c r="S164" s="72">
        <f t="shared" si="94"/>
        <v>2651</v>
      </c>
      <c r="T164" s="62">
        <f t="shared" si="97"/>
        <v>2651</v>
      </c>
    </row>
    <row r="165" spans="1:20">
      <c r="A165" s="9"/>
      <c r="B165" s="9"/>
      <c r="C165" s="9"/>
      <c r="D165" s="69"/>
      <c r="E165" s="69">
        <v>144</v>
      </c>
      <c r="F165" s="136" t="s">
        <v>97</v>
      </c>
      <c r="G165" s="26">
        <v>1400</v>
      </c>
      <c r="H165" s="26">
        <v>1400</v>
      </c>
      <c r="I165" s="26">
        <v>1400</v>
      </c>
      <c r="J165" s="105">
        <v>1399.8342700000001</v>
      </c>
      <c r="K165" s="35">
        <f>'1.03.'!M155</f>
        <v>1399.8342700000001</v>
      </c>
      <c r="L165" s="27"/>
      <c r="M165" s="92">
        <f t="shared" si="78"/>
        <v>1399.8342700000001</v>
      </c>
      <c r="N165" s="93">
        <f t="shared" si="79"/>
        <v>0.16572999999993954</v>
      </c>
      <c r="O165" s="70">
        <f t="shared" si="101"/>
        <v>99.988162142857149</v>
      </c>
      <c r="P165" s="71">
        <f t="shared" si="92"/>
        <v>0</v>
      </c>
      <c r="Q165" s="35">
        <f t="shared" si="93"/>
        <v>0.16572999999993954</v>
      </c>
      <c r="R165" s="72">
        <v>1103726</v>
      </c>
      <c r="S165" s="72">
        <f t="shared" si="94"/>
        <v>0.16572999999993954</v>
      </c>
      <c r="T165" s="62">
        <f t="shared" si="97"/>
        <v>0.16572999999993954</v>
      </c>
    </row>
    <row r="166" spans="1:20">
      <c r="A166" s="9"/>
      <c r="B166" s="9"/>
      <c r="C166" s="9"/>
      <c r="D166" s="69"/>
      <c r="E166" s="69">
        <v>149</v>
      </c>
      <c r="F166" s="136" t="s">
        <v>98</v>
      </c>
      <c r="G166" s="26">
        <v>9495</v>
      </c>
      <c r="H166" s="26"/>
      <c r="I166" s="26"/>
      <c r="J166" s="105">
        <f t="shared" si="100"/>
        <v>0</v>
      </c>
      <c r="K166" s="35">
        <f>'1.03.'!M156</f>
        <v>0</v>
      </c>
      <c r="L166" s="27"/>
      <c r="M166" s="92">
        <f t="shared" si="78"/>
        <v>0</v>
      </c>
      <c r="N166" s="93">
        <f t="shared" si="79"/>
        <v>0</v>
      </c>
      <c r="O166" s="70" t="e">
        <f t="shared" si="101"/>
        <v>#DIV/0!</v>
      </c>
      <c r="P166" s="71">
        <f t="shared" si="92"/>
        <v>0</v>
      </c>
      <c r="Q166" s="35">
        <f t="shared" si="93"/>
        <v>0</v>
      </c>
      <c r="R166" s="72">
        <v>1103727</v>
      </c>
      <c r="S166" s="72">
        <f t="shared" si="94"/>
        <v>9495</v>
      </c>
      <c r="T166" s="62">
        <f t="shared" si="97"/>
        <v>9495</v>
      </c>
    </row>
    <row r="167" spans="1:20">
      <c r="A167" s="9"/>
      <c r="B167" s="9"/>
      <c r="C167" s="9"/>
      <c r="D167" s="69"/>
      <c r="E167" s="69">
        <v>151</v>
      </c>
      <c r="F167" s="136" t="s">
        <v>99</v>
      </c>
      <c r="G167" s="26">
        <v>17588</v>
      </c>
      <c r="H167" s="26">
        <v>4000</v>
      </c>
      <c r="I167" s="26">
        <v>4000</v>
      </c>
      <c r="J167" s="105">
        <f t="shared" si="100"/>
        <v>4000</v>
      </c>
      <c r="K167" s="35">
        <f>'1.03.'!M157</f>
        <v>2700</v>
      </c>
      <c r="L167" s="27">
        <v>1300</v>
      </c>
      <c r="M167" s="92">
        <f t="shared" si="78"/>
        <v>4000</v>
      </c>
      <c r="N167" s="93">
        <f t="shared" si="79"/>
        <v>0</v>
      </c>
      <c r="O167" s="70">
        <f t="shared" si="101"/>
        <v>100</v>
      </c>
      <c r="P167" s="71">
        <f t="shared" si="92"/>
        <v>0</v>
      </c>
      <c r="Q167" s="35">
        <f t="shared" si="93"/>
        <v>0</v>
      </c>
      <c r="R167" s="72">
        <v>1103728</v>
      </c>
      <c r="S167" s="72">
        <f t="shared" si="94"/>
        <v>13588</v>
      </c>
      <c r="T167" s="62">
        <f t="shared" si="97"/>
        <v>13588</v>
      </c>
    </row>
    <row r="168" spans="1:20">
      <c r="A168" s="9"/>
      <c r="B168" s="9"/>
      <c r="C168" s="9"/>
      <c r="D168" s="69"/>
      <c r="E168" s="69">
        <v>152</v>
      </c>
      <c r="F168" s="136" t="s">
        <v>100</v>
      </c>
      <c r="G168" s="26">
        <v>1401</v>
      </c>
      <c r="H168" s="26">
        <v>1401</v>
      </c>
      <c r="I168" s="26">
        <v>182.1</v>
      </c>
      <c r="J168" s="105">
        <v>956.68</v>
      </c>
      <c r="K168" s="35">
        <f>'1.03.'!M158</f>
        <v>102.06592999999999</v>
      </c>
      <c r="L168" s="27">
        <v>80.03407</v>
      </c>
      <c r="M168" s="92">
        <f t="shared" si="78"/>
        <v>182.1</v>
      </c>
      <c r="N168" s="93">
        <f t="shared" si="79"/>
        <v>0</v>
      </c>
      <c r="O168" s="70">
        <f t="shared" si="101"/>
        <v>100</v>
      </c>
      <c r="P168" s="71">
        <f t="shared" si="92"/>
        <v>774.57999999999993</v>
      </c>
      <c r="Q168" s="35">
        <f t="shared" si="93"/>
        <v>444.32000000000005</v>
      </c>
      <c r="R168" s="72">
        <v>1103729</v>
      </c>
      <c r="S168" s="72">
        <f t="shared" si="94"/>
        <v>1218.9000000000001</v>
      </c>
      <c r="T168" s="62">
        <f t="shared" si="97"/>
        <v>444.32000000000005</v>
      </c>
    </row>
    <row r="169" spans="1:20" ht="25.5">
      <c r="A169" s="9"/>
      <c r="B169" s="9"/>
      <c r="C169" s="9"/>
      <c r="D169" s="69"/>
      <c r="E169" s="69">
        <v>158</v>
      </c>
      <c r="F169" s="136" t="s">
        <v>101</v>
      </c>
      <c r="G169" s="26">
        <f>730+1099.4</f>
        <v>1829.4</v>
      </c>
      <c r="H169" s="26">
        <v>1829.4</v>
      </c>
      <c r="I169" s="26">
        <v>417.9</v>
      </c>
      <c r="J169" s="105">
        <v>1829.36</v>
      </c>
      <c r="K169" s="35">
        <f>'1.03.'!M159</f>
        <v>206</v>
      </c>
      <c r="L169" s="27">
        <v>211.9</v>
      </c>
      <c r="M169" s="92">
        <f t="shared" si="78"/>
        <v>417.9</v>
      </c>
      <c r="N169" s="93">
        <f t="shared" si="79"/>
        <v>0</v>
      </c>
      <c r="O169" s="70">
        <f t="shared" si="101"/>
        <v>100</v>
      </c>
      <c r="P169" s="71">
        <f t="shared" si="92"/>
        <v>1411.46</v>
      </c>
      <c r="Q169" s="35">
        <f t="shared" si="93"/>
        <v>4.0000000000190994E-2</v>
      </c>
      <c r="R169" s="72">
        <v>1103730</v>
      </c>
      <c r="S169" s="72">
        <f t="shared" si="94"/>
        <v>1411.5</v>
      </c>
      <c r="T169" s="62">
        <f t="shared" si="97"/>
        <v>4.0000000000190994E-2</v>
      </c>
    </row>
    <row r="170" spans="1:20">
      <c r="A170" s="9"/>
      <c r="B170" s="9"/>
      <c r="C170" s="9"/>
      <c r="D170" s="69"/>
      <c r="E170" s="69">
        <v>159</v>
      </c>
      <c r="F170" s="136" t="s">
        <v>84</v>
      </c>
      <c r="G170" s="26">
        <f>6564-1099.4</f>
        <v>5464.6</v>
      </c>
      <c r="H170" s="26">
        <v>3533.6</v>
      </c>
      <c r="I170" s="26">
        <v>300</v>
      </c>
      <c r="J170" s="105">
        <v>3528.8258599999999</v>
      </c>
      <c r="K170" s="35">
        <f>'1.03.'!M160</f>
        <v>0</v>
      </c>
      <c r="L170" s="27">
        <v>300</v>
      </c>
      <c r="M170" s="92">
        <f t="shared" si="78"/>
        <v>300</v>
      </c>
      <c r="N170" s="93">
        <f t="shared" si="79"/>
        <v>0</v>
      </c>
      <c r="O170" s="70">
        <f t="shared" si="101"/>
        <v>100</v>
      </c>
      <c r="P170" s="71">
        <f t="shared" si="92"/>
        <v>3228.8258599999999</v>
      </c>
      <c r="Q170" s="35">
        <f t="shared" si="93"/>
        <v>4.7741399999999885</v>
      </c>
      <c r="R170" s="72">
        <v>1103731</v>
      </c>
      <c r="S170" s="72">
        <f t="shared" si="94"/>
        <v>5164.6000000000004</v>
      </c>
      <c r="T170" s="62">
        <f t="shared" si="97"/>
        <v>1935.7741400000004</v>
      </c>
    </row>
    <row r="171" spans="1:20">
      <c r="A171" s="9"/>
      <c r="B171" s="9"/>
      <c r="C171" s="9"/>
      <c r="D171" s="69"/>
      <c r="E171" s="69">
        <v>161</v>
      </c>
      <c r="F171" s="136" t="s">
        <v>102</v>
      </c>
      <c r="G171" s="26">
        <v>816</v>
      </c>
      <c r="H171" s="26"/>
      <c r="I171" s="26"/>
      <c r="J171" s="105">
        <f t="shared" ref="J171:J172" si="102">M171</f>
        <v>0</v>
      </c>
      <c r="K171" s="35">
        <f>'1.03.'!M161</f>
        <v>0</v>
      </c>
      <c r="L171" s="27"/>
      <c r="M171" s="92">
        <f t="shared" si="78"/>
        <v>0</v>
      </c>
      <c r="N171" s="93">
        <f t="shared" si="79"/>
        <v>0</v>
      </c>
      <c r="O171" s="70" t="e">
        <f t="shared" si="101"/>
        <v>#DIV/0!</v>
      </c>
      <c r="P171" s="71">
        <f t="shared" si="92"/>
        <v>0</v>
      </c>
      <c r="Q171" s="35">
        <f t="shared" si="93"/>
        <v>0</v>
      </c>
      <c r="R171" s="72">
        <v>1103732</v>
      </c>
      <c r="S171" s="72">
        <f t="shared" si="94"/>
        <v>816</v>
      </c>
      <c r="T171" s="62">
        <f t="shared" si="97"/>
        <v>816</v>
      </c>
    </row>
    <row r="172" spans="1:20">
      <c r="A172" s="9"/>
      <c r="B172" s="9"/>
      <c r="C172" s="9"/>
      <c r="D172" s="69"/>
      <c r="E172" s="69">
        <v>169</v>
      </c>
      <c r="F172" s="136" t="s">
        <v>103</v>
      </c>
      <c r="G172" s="26">
        <v>20</v>
      </c>
      <c r="H172" s="26">
        <v>10</v>
      </c>
      <c r="I172" s="26">
        <v>10</v>
      </c>
      <c r="J172" s="105">
        <f t="shared" si="102"/>
        <v>0</v>
      </c>
      <c r="K172" s="35">
        <f>'1.03.'!M162</f>
        <v>0</v>
      </c>
      <c r="L172" s="27"/>
      <c r="M172" s="92">
        <f>K172+L172</f>
        <v>0</v>
      </c>
      <c r="N172" s="93">
        <f t="shared" si="79"/>
        <v>10</v>
      </c>
      <c r="O172" s="70">
        <f t="shared" si="101"/>
        <v>0</v>
      </c>
      <c r="P172" s="71">
        <f t="shared" si="92"/>
        <v>0</v>
      </c>
      <c r="Q172" s="35">
        <f t="shared" si="93"/>
        <v>10</v>
      </c>
      <c r="R172" s="72">
        <v>1103733</v>
      </c>
      <c r="S172" s="72">
        <f t="shared" si="94"/>
        <v>20</v>
      </c>
      <c r="T172" s="62">
        <f t="shared" si="97"/>
        <v>20</v>
      </c>
    </row>
    <row r="173" spans="1:20" ht="25.5" hidden="1">
      <c r="A173" s="100"/>
      <c r="B173" s="15"/>
      <c r="C173" s="57" t="s">
        <v>43</v>
      </c>
      <c r="D173" s="16"/>
      <c r="E173" s="20"/>
      <c r="F173" s="3" t="s">
        <v>44</v>
      </c>
      <c r="G173" s="59">
        <f t="shared" ref="G173:N173" si="103">G174</f>
        <v>0</v>
      </c>
      <c r="H173" s="59">
        <f t="shared" si="103"/>
        <v>0</v>
      </c>
      <c r="I173" s="59">
        <f t="shared" si="103"/>
        <v>0</v>
      </c>
      <c r="J173" s="29">
        <f t="shared" si="103"/>
        <v>0</v>
      </c>
      <c r="K173" s="35">
        <f>'1.02.'!M163</f>
        <v>0</v>
      </c>
      <c r="L173" s="59">
        <f t="shared" si="103"/>
        <v>0</v>
      </c>
      <c r="M173" s="29">
        <f t="shared" si="103"/>
        <v>0</v>
      </c>
      <c r="N173" s="29">
        <f t="shared" si="103"/>
        <v>0</v>
      </c>
      <c r="O173" s="70"/>
      <c r="P173" s="71">
        <f t="shared" si="92"/>
        <v>0</v>
      </c>
      <c r="Q173" s="35">
        <f t="shared" si="93"/>
        <v>0</v>
      </c>
      <c r="R173" s="72">
        <v>1103734</v>
      </c>
      <c r="S173" s="72">
        <f t="shared" si="94"/>
        <v>0</v>
      </c>
    </row>
    <row r="174" spans="1:20" hidden="1">
      <c r="A174" s="9"/>
      <c r="B174" s="12"/>
      <c r="C174" s="12"/>
      <c r="D174" s="11" t="s">
        <v>7</v>
      </c>
      <c r="E174" s="97"/>
      <c r="F174" s="4" t="s">
        <v>22</v>
      </c>
      <c r="G174" s="98">
        <f>G175+G176+G177</f>
        <v>0</v>
      </c>
      <c r="H174" s="98">
        <f t="shared" ref="H174:M174" si="104">H175+H176+H177</f>
        <v>0</v>
      </c>
      <c r="I174" s="98">
        <f t="shared" si="104"/>
        <v>0</v>
      </c>
      <c r="J174" s="32">
        <f t="shared" si="104"/>
        <v>0</v>
      </c>
      <c r="K174" s="35">
        <f>'1.02.'!M164</f>
        <v>0</v>
      </c>
      <c r="L174" s="98">
        <f t="shared" si="104"/>
        <v>0</v>
      </c>
      <c r="M174" s="98">
        <f t="shared" si="104"/>
        <v>0</v>
      </c>
      <c r="N174" s="99">
        <f>N175+N176+N177</f>
        <v>0</v>
      </c>
      <c r="O174" s="68" t="e">
        <f>M174/I174*100</f>
        <v>#DIV/0!</v>
      </c>
      <c r="P174" s="71">
        <f t="shared" si="92"/>
        <v>0</v>
      </c>
      <c r="Q174" s="35">
        <f t="shared" si="93"/>
        <v>0</v>
      </c>
      <c r="R174" s="72">
        <v>1103735</v>
      </c>
      <c r="S174" s="72">
        <f t="shared" si="94"/>
        <v>0</v>
      </c>
      <c r="T174" s="62">
        <f>G174-J174</f>
        <v>0</v>
      </c>
    </row>
    <row r="175" spans="1:20" hidden="1">
      <c r="A175" s="9"/>
      <c r="B175" s="13"/>
      <c r="C175" s="13"/>
      <c r="D175" s="14"/>
      <c r="E175" s="20">
        <v>413</v>
      </c>
      <c r="F175" s="106" t="s">
        <v>56</v>
      </c>
      <c r="G175" s="34"/>
      <c r="H175" s="34"/>
      <c r="I175" s="34"/>
      <c r="J175" s="107">
        <f>M175</f>
        <v>0</v>
      </c>
      <c r="K175" s="35">
        <f>'1.02.'!M165</f>
        <v>0</v>
      </c>
      <c r="L175" s="34"/>
      <c r="M175" s="92">
        <f t="shared" ref="M175:M177" si="105">K175+L175</f>
        <v>0</v>
      </c>
      <c r="N175" s="93">
        <f t="shared" ref="N175:N177" si="106">I175-M175</f>
        <v>0</v>
      </c>
      <c r="O175" s="70"/>
      <c r="P175" s="71">
        <f t="shared" si="92"/>
        <v>0</v>
      </c>
      <c r="Q175" s="35">
        <f t="shared" si="93"/>
        <v>0</v>
      </c>
      <c r="R175" s="72">
        <v>1103736</v>
      </c>
      <c r="S175" s="72">
        <f t="shared" si="94"/>
        <v>0</v>
      </c>
    </row>
    <row r="176" spans="1:20" ht="25.5" hidden="1">
      <c r="A176" s="9"/>
      <c r="B176" s="13"/>
      <c r="C176" s="13"/>
      <c r="D176" s="14"/>
      <c r="E176" s="20">
        <v>414</v>
      </c>
      <c r="F176" s="86" t="s">
        <v>64</v>
      </c>
      <c r="G176" s="37"/>
      <c r="H176" s="37"/>
      <c r="I176" s="37"/>
      <c r="J176" s="107">
        <f t="shared" ref="J176:J177" si="107">M176</f>
        <v>0</v>
      </c>
      <c r="K176" s="35">
        <f>'1.02.'!M166</f>
        <v>0</v>
      </c>
      <c r="L176" s="37"/>
      <c r="M176" s="92">
        <f t="shared" si="105"/>
        <v>0</v>
      </c>
      <c r="N176" s="93">
        <f t="shared" si="106"/>
        <v>0</v>
      </c>
      <c r="O176" s="70"/>
      <c r="P176" s="71">
        <f t="shared" si="92"/>
        <v>0</v>
      </c>
      <c r="Q176" s="35">
        <f t="shared" si="93"/>
        <v>0</v>
      </c>
      <c r="R176" s="72">
        <v>1103737</v>
      </c>
      <c r="S176" s="72">
        <f t="shared" si="94"/>
        <v>0</v>
      </c>
    </row>
    <row r="177" spans="1:20" ht="25.5" hidden="1">
      <c r="A177" s="100"/>
      <c r="B177" s="15"/>
      <c r="C177" s="15"/>
      <c r="D177" s="16"/>
      <c r="E177" s="20">
        <v>421</v>
      </c>
      <c r="F177" s="3" t="s">
        <v>60</v>
      </c>
      <c r="G177" s="37"/>
      <c r="H177" s="37"/>
      <c r="I177" s="37"/>
      <c r="J177" s="107">
        <f t="shared" si="107"/>
        <v>0</v>
      </c>
      <c r="K177" s="35">
        <f>'1.02.'!M167</f>
        <v>0</v>
      </c>
      <c r="L177" s="35"/>
      <c r="M177" s="92">
        <f t="shared" si="105"/>
        <v>0</v>
      </c>
      <c r="N177" s="93">
        <f t="shared" si="106"/>
        <v>0</v>
      </c>
      <c r="O177" s="70" t="e">
        <f t="shared" ref="O177" si="108">M177/I177*100</f>
        <v>#DIV/0!</v>
      </c>
      <c r="P177" s="71">
        <f t="shared" si="92"/>
        <v>0</v>
      </c>
      <c r="Q177" s="35">
        <f t="shared" si="93"/>
        <v>0</v>
      </c>
      <c r="R177" s="72">
        <v>1103738</v>
      </c>
      <c r="S177" s="72">
        <f t="shared" si="94"/>
        <v>0</v>
      </c>
    </row>
    <row r="178" spans="1:20" s="95" customFormat="1" ht="13.5">
      <c r="A178" s="8"/>
      <c r="B178" s="57">
        <v>1265</v>
      </c>
      <c r="C178" s="12"/>
      <c r="D178" s="11"/>
      <c r="E178" s="18"/>
      <c r="F178" s="139" t="s">
        <v>123</v>
      </c>
      <c r="G178" s="42">
        <f>G179+G198</f>
        <v>1298876</v>
      </c>
      <c r="H178" s="42">
        <f t="shared" ref="H178:N178" si="109">H179+H198</f>
        <v>692091</v>
      </c>
      <c r="I178" s="42">
        <f t="shared" si="109"/>
        <v>335841</v>
      </c>
      <c r="J178" s="29">
        <f t="shared" si="109"/>
        <v>659315.93078000005</v>
      </c>
      <c r="K178" s="35">
        <f>'1.02.'!M168</f>
        <v>48654.000999999997</v>
      </c>
      <c r="L178" s="29">
        <f t="shared" si="109"/>
        <v>64675.564529999996</v>
      </c>
      <c r="M178" s="29">
        <f t="shared" si="109"/>
        <v>335796.75852999999</v>
      </c>
      <c r="N178" s="29">
        <f t="shared" si="109"/>
        <v>44.241469999995253</v>
      </c>
      <c r="O178" s="68">
        <f t="shared" si="101"/>
        <v>99.986826662021613</v>
      </c>
      <c r="P178" s="71">
        <f t="shared" si="92"/>
        <v>323519.17225000006</v>
      </c>
      <c r="Q178" s="35">
        <f t="shared" si="93"/>
        <v>32775.069219999947</v>
      </c>
      <c r="R178" s="72">
        <v>1103739</v>
      </c>
      <c r="S178" s="72">
        <f t="shared" si="94"/>
        <v>963079.24147000001</v>
      </c>
      <c r="T178" s="62">
        <f t="shared" si="97"/>
        <v>639560.06921999995</v>
      </c>
    </row>
    <row r="179" spans="1:20" ht="76.5">
      <c r="A179" s="8"/>
      <c r="B179" s="12"/>
      <c r="C179" s="12" t="s">
        <v>23</v>
      </c>
      <c r="D179" s="11"/>
      <c r="E179" s="18"/>
      <c r="F179" s="139" t="s">
        <v>124</v>
      </c>
      <c r="G179" s="42">
        <f>G180</f>
        <v>947947</v>
      </c>
      <c r="H179" s="42">
        <f t="shared" ref="H179:N179" si="110">H180</f>
        <v>341162</v>
      </c>
      <c r="I179" s="42">
        <f t="shared" si="110"/>
        <v>182638</v>
      </c>
      <c r="J179" s="60">
        <f t="shared" si="110"/>
        <v>308386.93078</v>
      </c>
      <c r="K179" s="29">
        <f>'1.02.'!M169</f>
        <v>48654.000999999997</v>
      </c>
      <c r="L179" s="42">
        <f t="shared" si="110"/>
        <v>64675.564529999996</v>
      </c>
      <c r="M179" s="33">
        <f t="shared" si="110"/>
        <v>182594.56353000001</v>
      </c>
      <c r="N179" s="29">
        <f t="shared" si="110"/>
        <v>43.436470000002238</v>
      </c>
      <c r="O179" s="66">
        <f t="shared" si="101"/>
        <v>99.976217178243303</v>
      </c>
      <c r="P179" s="71">
        <f t="shared" si="92"/>
        <v>125792.36724999998</v>
      </c>
      <c r="Q179" s="35">
        <f t="shared" si="93"/>
        <v>32775.069220000005</v>
      </c>
      <c r="R179" s="72">
        <v>1103740</v>
      </c>
      <c r="S179" s="72">
        <f t="shared" si="94"/>
        <v>765352.43646999996</v>
      </c>
      <c r="T179" s="62">
        <f t="shared" si="97"/>
        <v>639560.06921999995</v>
      </c>
    </row>
    <row r="180" spans="1:20">
      <c r="A180" s="9"/>
      <c r="B180" s="12"/>
      <c r="C180" s="12"/>
      <c r="D180" s="11" t="s">
        <v>7</v>
      </c>
      <c r="E180" s="97"/>
      <c r="F180" s="140" t="s">
        <v>85</v>
      </c>
      <c r="G180" s="98">
        <f t="shared" ref="G180:N180" si="111">SUM(G181:G197)</f>
        <v>947947</v>
      </c>
      <c r="H180" s="98">
        <f t="shared" si="111"/>
        <v>341162</v>
      </c>
      <c r="I180" s="98">
        <f t="shared" si="111"/>
        <v>182638</v>
      </c>
      <c r="J180" s="32">
        <f>SUM(J181:J197)</f>
        <v>308386.93078</v>
      </c>
      <c r="K180" s="35">
        <f>'1.02.'!M170</f>
        <v>48654.000999999997</v>
      </c>
      <c r="L180" s="32">
        <f t="shared" si="111"/>
        <v>64675.564529999996</v>
      </c>
      <c r="M180" s="32">
        <f t="shared" si="111"/>
        <v>182594.56353000001</v>
      </c>
      <c r="N180" s="32">
        <f t="shared" si="111"/>
        <v>43.436470000002238</v>
      </c>
      <c r="O180" s="68">
        <f t="shared" si="101"/>
        <v>99.976217178243303</v>
      </c>
      <c r="P180" s="71">
        <f t="shared" si="92"/>
        <v>125792.36724999998</v>
      </c>
      <c r="Q180" s="35">
        <f t="shared" si="93"/>
        <v>32775.069220000005</v>
      </c>
      <c r="R180" s="72">
        <v>1103741</v>
      </c>
      <c r="S180" s="72">
        <f t="shared" si="94"/>
        <v>765352.43646999996</v>
      </c>
      <c r="T180" s="62">
        <f t="shared" si="97"/>
        <v>639560.06921999995</v>
      </c>
    </row>
    <row r="181" spans="1:20">
      <c r="A181" s="9"/>
      <c r="B181" s="13"/>
      <c r="C181" s="13"/>
      <c r="D181" s="14"/>
      <c r="E181" s="20">
        <v>111</v>
      </c>
      <c r="F181" s="136" t="s">
        <v>86</v>
      </c>
      <c r="G181" s="37">
        <v>618499</v>
      </c>
      <c r="H181" s="37">
        <v>143000</v>
      </c>
      <c r="I181" s="37">
        <v>143000</v>
      </c>
      <c r="J181" s="75">
        <f>M181</f>
        <v>142960.829</v>
      </c>
      <c r="K181" s="35">
        <f>'1.03.'!M171</f>
        <v>94883.706000000006</v>
      </c>
      <c r="L181" s="35">
        <v>48077.123</v>
      </c>
      <c r="M181" s="92">
        <f>K181+L181</f>
        <v>142960.829</v>
      </c>
      <c r="N181" s="93">
        <f>I181-M181</f>
        <v>39.171000000002095</v>
      </c>
      <c r="O181" s="70">
        <f t="shared" si="101"/>
        <v>99.97260769230769</v>
      </c>
      <c r="P181" s="71">
        <f t="shared" si="92"/>
        <v>0</v>
      </c>
      <c r="Q181" s="35">
        <f t="shared" si="93"/>
        <v>39.171000000002095</v>
      </c>
      <c r="R181" s="72">
        <v>1103742</v>
      </c>
      <c r="S181" s="72">
        <f t="shared" si="94"/>
        <v>475538.17099999997</v>
      </c>
      <c r="T181" s="62">
        <f t="shared" si="97"/>
        <v>475538.17099999997</v>
      </c>
    </row>
    <row r="182" spans="1:20">
      <c r="A182" s="9"/>
      <c r="B182" s="13"/>
      <c r="C182" s="13"/>
      <c r="D182" s="14"/>
      <c r="E182" s="69">
        <v>112</v>
      </c>
      <c r="F182" s="136" t="s">
        <v>87</v>
      </c>
      <c r="G182" s="37"/>
      <c r="H182" s="37"/>
      <c r="I182" s="37"/>
      <c r="J182" s="75">
        <f t="shared" ref="J182:J197" si="112">M182</f>
        <v>0</v>
      </c>
      <c r="K182" s="35">
        <f>'1.03.'!M172</f>
        <v>0</v>
      </c>
      <c r="L182" s="35"/>
      <c r="M182" s="92">
        <f>K182+L182</f>
        <v>0</v>
      </c>
      <c r="N182" s="93">
        <f t="shared" ref="N182:N183" si="113">I182-M182</f>
        <v>0</v>
      </c>
      <c r="O182" s="70" t="e">
        <f t="shared" si="101"/>
        <v>#DIV/0!</v>
      </c>
      <c r="P182" s="71">
        <f t="shared" si="92"/>
        <v>0</v>
      </c>
      <c r="Q182" s="35">
        <f t="shared" si="93"/>
        <v>0</v>
      </c>
      <c r="R182" s="72">
        <v>1103743</v>
      </c>
      <c r="S182" s="72">
        <f t="shared" si="94"/>
        <v>0</v>
      </c>
    </row>
    <row r="183" spans="1:20">
      <c r="A183" s="9"/>
      <c r="B183" s="15"/>
      <c r="C183" s="15"/>
      <c r="D183" s="16"/>
      <c r="E183" s="20">
        <v>113</v>
      </c>
      <c r="F183" s="136" t="s">
        <v>88</v>
      </c>
      <c r="G183" s="37">
        <v>19771</v>
      </c>
      <c r="H183" s="37">
        <v>2630</v>
      </c>
      <c r="I183" s="37">
        <v>2630</v>
      </c>
      <c r="J183" s="75">
        <f t="shared" si="112"/>
        <v>2630</v>
      </c>
      <c r="K183" s="35">
        <f>'1.03.'!M173</f>
        <v>1439.7829999999999</v>
      </c>
      <c r="L183" s="35">
        <v>1190.2170000000001</v>
      </c>
      <c r="M183" s="92">
        <f t="shared" si="78"/>
        <v>2630</v>
      </c>
      <c r="N183" s="93">
        <f t="shared" si="113"/>
        <v>0</v>
      </c>
      <c r="O183" s="70">
        <f t="shared" si="101"/>
        <v>100</v>
      </c>
      <c r="P183" s="71">
        <f t="shared" si="92"/>
        <v>0</v>
      </c>
      <c r="Q183" s="35">
        <f t="shared" si="93"/>
        <v>0</v>
      </c>
      <c r="R183" s="72">
        <v>1103744</v>
      </c>
      <c r="S183" s="72">
        <f t="shared" si="94"/>
        <v>17141</v>
      </c>
      <c r="T183" s="62">
        <f t="shared" si="97"/>
        <v>17141</v>
      </c>
    </row>
    <row r="184" spans="1:20">
      <c r="A184" s="9"/>
      <c r="B184" s="15"/>
      <c r="C184" s="15"/>
      <c r="D184" s="16"/>
      <c r="E184" s="69">
        <v>116</v>
      </c>
      <c r="F184" s="136" t="s">
        <v>89</v>
      </c>
      <c r="G184" s="37">
        <v>10353</v>
      </c>
      <c r="H184" s="37">
        <v>2760</v>
      </c>
      <c r="I184" s="37">
        <v>2760</v>
      </c>
      <c r="J184" s="75">
        <f t="shared" si="112"/>
        <v>2759.299</v>
      </c>
      <c r="K184" s="35">
        <f>'1.03.'!M174</f>
        <v>1779.769</v>
      </c>
      <c r="L184" s="35">
        <v>979.53</v>
      </c>
      <c r="M184" s="92">
        <f>K184+L184</f>
        <v>2759.299</v>
      </c>
      <c r="N184" s="93">
        <f>I184-M184</f>
        <v>0.70100000000002183</v>
      </c>
      <c r="O184" s="70">
        <f>M184/I184*100</f>
        <v>99.974601449275355</v>
      </c>
      <c r="P184" s="71">
        <f t="shared" si="92"/>
        <v>0</v>
      </c>
      <c r="Q184" s="35">
        <f t="shared" si="93"/>
        <v>0.70100000000002183</v>
      </c>
      <c r="R184" s="72">
        <v>1103745</v>
      </c>
      <c r="S184" s="72">
        <f t="shared" si="94"/>
        <v>7593.701</v>
      </c>
    </row>
    <row r="185" spans="1:20">
      <c r="A185" s="9"/>
      <c r="B185" s="15"/>
      <c r="C185" s="15"/>
      <c r="D185" s="16"/>
      <c r="E185" s="20">
        <v>121</v>
      </c>
      <c r="F185" s="136" t="s">
        <v>90</v>
      </c>
      <c r="G185" s="37">
        <f>32039+200</f>
        <v>32239</v>
      </c>
      <c r="H185" s="37">
        <v>8000</v>
      </c>
      <c r="I185" s="37">
        <v>8000</v>
      </c>
      <c r="J185" s="75">
        <f t="shared" si="112"/>
        <v>8000</v>
      </c>
      <c r="K185" s="35">
        <f>'1.03.'!M175</f>
        <v>5200</v>
      </c>
      <c r="L185" s="35">
        <v>2800</v>
      </c>
      <c r="M185" s="92">
        <f>K185+L185</f>
        <v>8000</v>
      </c>
      <c r="N185" s="93">
        <f>I185-M185</f>
        <v>0</v>
      </c>
      <c r="O185" s="70">
        <f>M185/I185*100</f>
        <v>100</v>
      </c>
      <c r="P185" s="71">
        <f t="shared" si="92"/>
        <v>0</v>
      </c>
      <c r="Q185" s="35">
        <f t="shared" si="93"/>
        <v>0</v>
      </c>
      <c r="R185" s="72">
        <v>1103746</v>
      </c>
      <c r="S185" s="72">
        <f t="shared" si="94"/>
        <v>24239</v>
      </c>
      <c r="T185" s="62">
        <f t="shared" si="97"/>
        <v>24239</v>
      </c>
    </row>
    <row r="186" spans="1:20" ht="25.5">
      <c r="A186" s="9"/>
      <c r="B186" s="15"/>
      <c r="C186" s="15"/>
      <c r="D186" s="16"/>
      <c r="E186" s="20">
        <v>122</v>
      </c>
      <c r="F186" s="136" t="s">
        <v>91</v>
      </c>
      <c r="G186" s="37">
        <f>27832-200</f>
        <v>27632</v>
      </c>
      <c r="H186" s="37">
        <v>5920</v>
      </c>
      <c r="I186" s="37">
        <v>5920</v>
      </c>
      <c r="J186" s="75">
        <f t="shared" si="112"/>
        <v>5919.5969999999998</v>
      </c>
      <c r="K186" s="35">
        <f>'1.03.'!M176</f>
        <v>4019.489</v>
      </c>
      <c r="L186" s="35">
        <v>1900.1079999999999</v>
      </c>
      <c r="M186" s="92">
        <f t="shared" si="78"/>
        <v>5919.5969999999998</v>
      </c>
      <c r="N186" s="93">
        <f t="shared" si="79"/>
        <v>0.40300000000024738</v>
      </c>
      <c r="O186" s="70">
        <f t="shared" si="101"/>
        <v>99.993192567567561</v>
      </c>
      <c r="P186" s="71">
        <f t="shared" si="92"/>
        <v>0</v>
      </c>
      <c r="Q186" s="35">
        <f t="shared" si="93"/>
        <v>0.40300000000024738</v>
      </c>
      <c r="R186" s="72">
        <v>1103747</v>
      </c>
      <c r="S186" s="72">
        <f t="shared" si="94"/>
        <v>21712.402999999998</v>
      </c>
      <c r="T186" s="62">
        <f t="shared" si="97"/>
        <v>21712.402999999998</v>
      </c>
    </row>
    <row r="187" spans="1:20">
      <c r="A187" s="9"/>
      <c r="B187" s="15"/>
      <c r="C187" s="15"/>
      <c r="D187" s="16"/>
      <c r="E187" s="20">
        <v>123</v>
      </c>
      <c r="F187" s="136" t="s">
        <v>92</v>
      </c>
      <c r="G187" s="37">
        <v>168</v>
      </c>
      <c r="H187" s="37"/>
      <c r="I187" s="37"/>
      <c r="J187" s="75">
        <f t="shared" si="112"/>
        <v>0</v>
      </c>
      <c r="K187" s="35">
        <f>'1.03.'!M177</f>
        <v>0</v>
      </c>
      <c r="L187" s="35"/>
      <c r="M187" s="92">
        <f t="shared" si="78"/>
        <v>0</v>
      </c>
      <c r="N187" s="93">
        <f t="shared" si="79"/>
        <v>0</v>
      </c>
      <c r="O187" s="70" t="e">
        <f t="shared" si="101"/>
        <v>#DIV/0!</v>
      </c>
      <c r="P187" s="71">
        <f t="shared" si="92"/>
        <v>0</v>
      </c>
      <c r="Q187" s="35">
        <f t="shared" si="93"/>
        <v>0</v>
      </c>
      <c r="R187" s="72">
        <v>1103748</v>
      </c>
      <c r="S187" s="72">
        <f t="shared" si="94"/>
        <v>168</v>
      </c>
      <c r="T187" s="62">
        <f t="shared" si="97"/>
        <v>168</v>
      </c>
    </row>
    <row r="188" spans="1:20">
      <c r="A188" s="9"/>
      <c r="B188" s="15"/>
      <c r="C188" s="15"/>
      <c r="D188" s="16"/>
      <c r="E188" s="20">
        <v>124</v>
      </c>
      <c r="F188" s="136" t="s">
        <v>93</v>
      </c>
      <c r="G188" s="37">
        <f>15607-58</f>
        <v>15549</v>
      </c>
      <c r="H188" s="37">
        <v>3150</v>
      </c>
      <c r="I188" s="37">
        <v>3150</v>
      </c>
      <c r="J188" s="75">
        <f t="shared" si="112"/>
        <v>3149.9720000000002</v>
      </c>
      <c r="K188" s="35">
        <f>'1.03.'!M178</f>
        <v>2090.9520000000002</v>
      </c>
      <c r="L188" s="35">
        <v>1059.02</v>
      </c>
      <c r="M188" s="93">
        <f t="shared" si="78"/>
        <v>3149.9720000000002</v>
      </c>
      <c r="N188" s="93">
        <f t="shared" si="79"/>
        <v>2.7999999999792635E-2</v>
      </c>
      <c r="O188" s="70">
        <f t="shared" si="101"/>
        <v>99.999111111111119</v>
      </c>
      <c r="P188" s="71">
        <f t="shared" si="92"/>
        <v>0</v>
      </c>
      <c r="Q188" s="35">
        <f t="shared" si="93"/>
        <v>2.7999999999792635E-2</v>
      </c>
      <c r="R188" s="72">
        <v>1103749</v>
      </c>
      <c r="S188" s="72">
        <f t="shared" si="94"/>
        <v>12399.028</v>
      </c>
      <c r="T188" s="62">
        <f t="shared" si="97"/>
        <v>12399.028</v>
      </c>
    </row>
    <row r="189" spans="1:20" s="73" customFormat="1">
      <c r="A189" s="9"/>
      <c r="B189" s="15"/>
      <c r="C189" s="15"/>
      <c r="D189" s="16"/>
      <c r="E189" s="20">
        <v>141</v>
      </c>
      <c r="F189" s="136" t="s">
        <v>116</v>
      </c>
      <c r="G189" s="37">
        <f>170896-249</f>
        <v>170647</v>
      </c>
      <c r="H189" s="37">
        <v>149751</v>
      </c>
      <c r="I189" s="37">
        <v>0</v>
      </c>
      <c r="J189" s="75">
        <v>117841.22614</v>
      </c>
      <c r="K189" s="35">
        <f>'1.03.'!M179</f>
        <v>0</v>
      </c>
      <c r="L189" s="35"/>
      <c r="M189" s="92">
        <f t="shared" si="78"/>
        <v>0</v>
      </c>
      <c r="N189" s="93">
        <f t="shared" si="79"/>
        <v>0</v>
      </c>
      <c r="O189" s="70" t="e">
        <f t="shared" si="101"/>
        <v>#DIV/0!</v>
      </c>
      <c r="P189" s="71">
        <f t="shared" si="92"/>
        <v>117841.22614</v>
      </c>
      <c r="Q189" s="35">
        <f t="shared" si="93"/>
        <v>31909.773860000001</v>
      </c>
      <c r="R189" s="72">
        <v>1103750</v>
      </c>
      <c r="S189" s="72">
        <f t="shared" si="94"/>
        <v>170647</v>
      </c>
      <c r="T189" s="62">
        <f t="shared" si="97"/>
        <v>52805.773860000001</v>
      </c>
    </row>
    <row r="190" spans="1:20">
      <c r="A190" s="9"/>
      <c r="B190" s="15"/>
      <c r="C190" s="15"/>
      <c r="D190" s="16"/>
      <c r="E190" s="20">
        <v>144</v>
      </c>
      <c r="F190" s="136" t="s">
        <v>97</v>
      </c>
      <c r="G190" s="37">
        <v>4041</v>
      </c>
      <c r="H190" s="37">
        <v>2952</v>
      </c>
      <c r="I190" s="37">
        <v>2952</v>
      </c>
      <c r="J190" s="75">
        <f t="shared" si="112"/>
        <v>2951.8902699999999</v>
      </c>
      <c r="K190" s="35">
        <f>'1.03.'!M180</f>
        <v>0</v>
      </c>
      <c r="L190" s="35">
        <v>2951.8902699999999</v>
      </c>
      <c r="M190" s="92">
        <f t="shared" si="78"/>
        <v>2951.8902699999999</v>
      </c>
      <c r="N190" s="93">
        <f t="shared" si="79"/>
        <v>0.10973000000012689</v>
      </c>
      <c r="O190" s="70">
        <f t="shared" si="101"/>
        <v>99.99628285907859</v>
      </c>
      <c r="P190" s="71">
        <f t="shared" si="92"/>
        <v>0</v>
      </c>
      <c r="Q190" s="35">
        <f t="shared" si="93"/>
        <v>0.10973000000012689</v>
      </c>
      <c r="R190" s="72">
        <v>1103751</v>
      </c>
      <c r="S190" s="72">
        <f t="shared" si="94"/>
        <v>1089.1097300000001</v>
      </c>
      <c r="T190" s="62">
        <f t="shared" si="97"/>
        <v>1089.1097300000001</v>
      </c>
    </row>
    <row r="191" spans="1:20">
      <c r="A191" s="100"/>
      <c r="B191" s="15"/>
      <c r="C191" s="15"/>
      <c r="D191" s="16"/>
      <c r="E191" s="20">
        <v>149</v>
      </c>
      <c r="F191" s="136" t="s">
        <v>98</v>
      </c>
      <c r="G191" s="37">
        <v>3715</v>
      </c>
      <c r="H191" s="37">
        <v>2516</v>
      </c>
      <c r="I191" s="37">
        <v>1266</v>
      </c>
      <c r="J191" s="75">
        <v>1692.82</v>
      </c>
      <c r="K191" s="35">
        <f>'1.03.'!M181</f>
        <v>0</v>
      </c>
      <c r="L191" s="35">
        <v>1265.46</v>
      </c>
      <c r="M191" s="92">
        <f t="shared" si="78"/>
        <v>1265.46</v>
      </c>
      <c r="N191" s="93">
        <f t="shared" si="79"/>
        <v>0.53999999999996362</v>
      </c>
      <c r="O191" s="70">
        <f t="shared" si="101"/>
        <v>99.957345971563981</v>
      </c>
      <c r="P191" s="71">
        <f t="shared" si="92"/>
        <v>427.3599999999999</v>
      </c>
      <c r="Q191" s="35">
        <f t="shared" si="93"/>
        <v>823.18000000000006</v>
      </c>
      <c r="R191" s="72">
        <v>1103752</v>
      </c>
      <c r="S191" s="72">
        <f t="shared" si="94"/>
        <v>2449.54</v>
      </c>
      <c r="T191" s="62">
        <f t="shared" si="97"/>
        <v>2022.18</v>
      </c>
    </row>
    <row r="192" spans="1:20">
      <c r="A192" s="100"/>
      <c r="B192" s="15"/>
      <c r="C192" s="15"/>
      <c r="D192" s="16"/>
      <c r="E192" s="20">
        <v>151</v>
      </c>
      <c r="F192" s="136" t="s">
        <v>99</v>
      </c>
      <c r="G192" s="37">
        <v>35085</v>
      </c>
      <c r="H192" s="37">
        <v>11500</v>
      </c>
      <c r="I192" s="37">
        <v>11500</v>
      </c>
      <c r="J192" s="75">
        <f t="shared" si="112"/>
        <v>11500</v>
      </c>
      <c r="K192" s="35">
        <f>'1.03.'!M182</f>
        <v>8000</v>
      </c>
      <c r="L192" s="35">
        <v>3500</v>
      </c>
      <c r="M192" s="92">
        <f t="shared" ref="M192:M197" si="114">K192+L192</f>
        <v>11500</v>
      </c>
      <c r="N192" s="93">
        <f t="shared" ref="N192:N222" si="115">I192-M192</f>
        <v>0</v>
      </c>
      <c r="O192" s="70">
        <f t="shared" si="101"/>
        <v>100</v>
      </c>
      <c r="P192" s="71">
        <f t="shared" si="92"/>
        <v>0</v>
      </c>
      <c r="Q192" s="35">
        <f t="shared" si="93"/>
        <v>0</v>
      </c>
      <c r="R192" s="72">
        <v>1103753</v>
      </c>
      <c r="S192" s="72">
        <f t="shared" si="94"/>
        <v>23585</v>
      </c>
      <c r="T192" s="62">
        <f t="shared" si="97"/>
        <v>23585</v>
      </c>
    </row>
    <row r="193" spans="1:20">
      <c r="A193" s="100"/>
      <c r="B193" s="15"/>
      <c r="C193" s="15"/>
      <c r="D193" s="16"/>
      <c r="E193" s="20">
        <v>152</v>
      </c>
      <c r="F193" s="136" t="s">
        <v>100</v>
      </c>
      <c r="G193" s="37">
        <v>1374</v>
      </c>
      <c r="H193" s="37">
        <v>1374</v>
      </c>
      <c r="I193" s="37">
        <v>140</v>
      </c>
      <c r="J193" s="75">
        <v>1373.87772</v>
      </c>
      <c r="K193" s="35">
        <f>'1.03.'!M183</f>
        <v>115</v>
      </c>
      <c r="L193" s="35">
        <v>25</v>
      </c>
      <c r="M193" s="92">
        <f t="shared" si="114"/>
        <v>140</v>
      </c>
      <c r="N193" s="101">
        <f t="shared" si="115"/>
        <v>0</v>
      </c>
      <c r="O193" s="70">
        <f t="shared" si="101"/>
        <v>100</v>
      </c>
      <c r="P193" s="71">
        <f t="shared" si="92"/>
        <v>1233.87772</v>
      </c>
      <c r="Q193" s="35">
        <f t="shared" si="93"/>
        <v>0.12228000000004613</v>
      </c>
      <c r="R193" s="72">
        <v>1103754</v>
      </c>
      <c r="S193" s="72">
        <f t="shared" si="94"/>
        <v>1234</v>
      </c>
      <c r="T193" s="62">
        <f t="shared" si="97"/>
        <v>0.12228000000004613</v>
      </c>
    </row>
    <row r="194" spans="1:20" ht="25.5">
      <c r="A194" s="100"/>
      <c r="B194" s="15"/>
      <c r="C194" s="15"/>
      <c r="D194" s="16"/>
      <c r="E194" s="20">
        <v>158</v>
      </c>
      <c r="F194" s="136" t="s">
        <v>101</v>
      </c>
      <c r="G194" s="37">
        <f>730+2332</f>
        <v>3062</v>
      </c>
      <c r="H194" s="37">
        <v>3062</v>
      </c>
      <c r="I194" s="37">
        <v>512</v>
      </c>
      <c r="J194" s="75">
        <v>3061.6</v>
      </c>
      <c r="K194" s="35">
        <f>'1.03.'!M184</f>
        <v>255.3</v>
      </c>
      <c r="L194" s="35">
        <v>255.3</v>
      </c>
      <c r="M194" s="92">
        <f t="shared" si="114"/>
        <v>510.6</v>
      </c>
      <c r="N194" s="101">
        <f t="shared" si="115"/>
        <v>1.3999999999999773</v>
      </c>
      <c r="O194" s="70">
        <f t="shared" si="101"/>
        <v>99.7265625</v>
      </c>
      <c r="P194" s="71">
        <f t="shared" si="92"/>
        <v>2551</v>
      </c>
      <c r="Q194" s="35">
        <f t="shared" si="93"/>
        <v>0.40000000000009095</v>
      </c>
      <c r="R194" s="72">
        <v>1103755</v>
      </c>
      <c r="S194" s="72">
        <f t="shared" si="94"/>
        <v>2551.4</v>
      </c>
      <c r="T194" s="62">
        <f t="shared" si="97"/>
        <v>0.40000000000009095</v>
      </c>
    </row>
    <row r="195" spans="1:20">
      <c r="A195" s="100"/>
      <c r="B195" s="15"/>
      <c r="C195" s="15"/>
      <c r="D195" s="16"/>
      <c r="E195" s="20">
        <v>159</v>
      </c>
      <c r="F195" s="136" t="s">
        <v>84</v>
      </c>
      <c r="G195" s="37">
        <f>7434-2332</f>
        <v>5102</v>
      </c>
      <c r="H195" s="37">
        <v>3853</v>
      </c>
      <c r="I195" s="37">
        <v>114</v>
      </c>
      <c r="J195" s="75">
        <v>3852.9033899999999</v>
      </c>
      <c r="K195" s="35">
        <f>'1.03.'!M185</f>
        <v>35</v>
      </c>
      <c r="L195" s="35">
        <v>79</v>
      </c>
      <c r="M195" s="93">
        <f t="shared" si="114"/>
        <v>114</v>
      </c>
      <c r="N195" s="93">
        <f t="shared" si="115"/>
        <v>0</v>
      </c>
      <c r="O195" s="70">
        <f t="shared" si="101"/>
        <v>100</v>
      </c>
      <c r="P195" s="71">
        <f t="shared" si="92"/>
        <v>3738.9033899999999</v>
      </c>
      <c r="Q195" s="35">
        <f t="shared" si="93"/>
        <v>9.6610000000055152E-2</v>
      </c>
      <c r="R195" s="72">
        <v>1103756</v>
      </c>
      <c r="S195" s="72">
        <f t="shared" si="94"/>
        <v>4988</v>
      </c>
      <c r="T195" s="62">
        <f t="shared" si="97"/>
        <v>1249.0966100000001</v>
      </c>
    </row>
    <row r="196" spans="1:20">
      <c r="A196" s="100"/>
      <c r="B196" s="15"/>
      <c r="C196" s="15"/>
      <c r="D196" s="16"/>
      <c r="E196" s="69">
        <v>161</v>
      </c>
      <c r="F196" s="136" t="s">
        <v>102</v>
      </c>
      <c r="G196" s="37">
        <v>58</v>
      </c>
      <c r="H196" s="37">
        <v>58</v>
      </c>
      <c r="I196" s="37">
        <v>58</v>
      </c>
      <c r="J196" s="75">
        <f t="shared" si="112"/>
        <v>57.9</v>
      </c>
      <c r="K196" s="35">
        <f>'1.03.'!M186</f>
        <v>0</v>
      </c>
      <c r="L196" s="35">
        <v>57.9</v>
      </c>
      <c r="M196" s="92">
        <f t="shared" si="114"/>
        <v>57.9</v>
      </c>
      <c r="N196" s="93">
        <f t="shared" si="115"/>
        <v>0.10000000000000142</v>
      </c>
      <c r="O196" s="70">
        <f t="shared" si="101"/>
        <v>99.827586206896541</v>
      </c>
      <c r="P196" s="71">
        <f t="shared" si="92"/>
        <v>0</v>
      </c>
      <c r="Q196" s="35">
        <f t="shared" si="93"/>
        <v>0.10000000000000142</v>
      </c>
      <c r="R196" s="72">
        <v>1103757</v>
      </c>
      <c r="S196" s="72">
        <f t="shared" si="94"/>
        <v>0.10000000000000142</v>
      </c>
      <c r="T196" s="62">
        <f t="shared" si="97"/>
        <v>0.10000000000000142</v>
      </c>
    </row>
    <row r="197" spans="1:20">
      <c r="A197" s="100"/>
      <c r="B197" s="15"/>
      <c r="C197" s="15"/>
      <c r="D197" s="16"/>
      <c r="E197" s="20">
        <v>169</v>
      </c>
      <c r="F197" s="136" t="s">
        <v>103</v>
      </c>
      <c r="G197" s="37">
        <v>652</v>
      </c>
      <c r="H197" s="37">
        <v>636</v>
      </c>
      <c r="I197" s="37">
        <v>636</v>
      </c>
      <c r="J197" s="75">
        <f t="shared" si="112"/>
        <v>635.01625999999999</v>
      </c>
      <c r="K197" s="35">
        <f>'1.03.'!M187</f>
        <v>100</v>
      </c>
      <c r="L197" s="35">
        <v>535.01625999999999</v>
      </c>
      <c r="M197" s="93">
        <f t="shared" si="114"/>
        <v>635.01625999999999</v>
      </c>
      <c r="N197" s="93">
        <f t="shared" si="115"/>
        <v>0.98374000000001161</v>
      </c>
      <c r="O197" s="70">
        <f t="shared" si="101"/>
        <v>99.845323899371067</v>
      </c>
      <c r="P197" s="71">
        <f t="shared" si="92"/>
        <v>0</v>
      </c>
      <c r="Q197" s="35">
        <f t="shared" si="93"/>
        <v>0.98374000000001161</v>
      </c>
      <c r="R197" s="72">
        <v>1103758</v>
      </c>
      <c r="S197" s="72">
        <f t="shared" si="94"/>
        <v>16.983740000000012</v>
      </c>
      <c r="T197" s="62">
        <f t="shared" si="97"/>
        <v>16.983740000000012</v>
      </c>
    </row>
    <row r="198" spans="1:20" ht="25.5">
      <c r="A198" s="100"/>
      <c r="B198" s="15"/>
      <c r="C198" s="57" t="s">
        <v>43</v>
      </c>
      <c r="D198" s="16"/>
      <c r="E198" s="20"/>
      <c r="F198" s="139" t="s">
        <v>119</v>
      </c>
      <c r="G198" s="59">
        <f t="shared" ref="G198:N198" si="116">G199</f>
        <v>350929</v>
      </c>
      <c r="H198" s="59">
        <f t="shared" si="116"/>
        <v>350929</v>
      </c>
      <c r="I198" s="59">
        <f t="shared" si="116"/>
        <v>153203</v>
      </c>
      <c r="J198" s="29">
        <f t="shared" si="116"/>
        <v>350929</v>
      </c>
      <c r="K198" s="35">
        <f>'1.02.'!M188</f>
        <v>0</v>
      </c>
      <c r="L198" s="59">
        <f t="shared" si="116"/>
        <v>0</v>
      </c>
      <c r="M198" s="59">
        <f t="shared" si="116"/>
        <v>153202.19500000001</v>
      </c>
      <c r="N198" s="29">
        <f t="shared" si="116"/>
        <v>0.80499999999301508</v>
      </c>
      <c r="O198" s="70"/>
      <c r="P198" s="71">
        <f t="shared" si="92"/>
        <v>197726.80499999999</v>
      </c>
      <c r="Q198" s="35">
        <f t="shared" si="93"/>
        <v>0</v>
      </c>
      <c r="R198" s="72">
        <v>1103759</v>
      </c>
      <c r="S198" s="72">
        <f t="shared" si="94"/>
        <v>197726.80499999999</v>
      </c>
    </row>
    <row r="199" spans="1:20">
      <c r="A199" s="9"/>
      <c r="B199" s="12"/>
      <c r="C199" s="12"/>
      <c r="D199" s="11" t="s">
        <v>7</v>
      </c>
      <c r="E199" s="97"/>
      <c r="F199" s="122" t="s">
        <v>85</v>
      </c>
      <c r="G199" s="98">
        <f>G200+G201</f>
        <v>350929</v>
      </c>
      <c r="H199" s="98">
        <f t="shared" ref="H199:N199" si="117">H200+H201</f>
        <v>350929</v>
      </c>
      <c r="I199" s="98">
        <f t="shared" si="117"/>
        <v>153203</v>
      </c>
      <c r="J199" s="99">
        <f t="shared" si="117"/>
        <v>350929</v>
      </c>
      <c r="K199" s="35">
        <f>'1.02.'!M189</f>
        <v>0</v>
      </c>
      <c r="L199" s="98">
        <f t="shared" si="117"/>
        <v>0</v>
      </c>
      <c r="M199" s="32">
        <f t="shared" si="117"/>
        <v>153202.19500000001</v>
      </c>
      <c r="N199" s="98">
        <f t="shared" si="117"/>
        <v>0.80499999999301508</v>
      </c>
      <c r="O199" s="68">
        <f>M199/I199*100</f>
        <v>99.999474553370376</v>
      </c>
      <c r="P199" s="71">
        <f t="shared" si="92"/>
        <v>197726.80499999999</v>
      </c>
      <c r="Q199" s="35">
        <f t="shared" si="93"/>
        <v>0</v>
      </c>
      <c r="R199" s="72">
        <v>1103760</v>
      </c>
      <c r="S199" s="72">
        <f t="shared" si="94"/>
        <v>197726.80499999999</v>
      </c>
      <c r="T199" s="62">
        <f>G199-J199</f>
        <v>0</v>
      </c>
    </row>
    <row r="200" spans="1:20" ht="25.5">
      <c r="A200" s="100"/>
      <c r="B200" s="15"/>
      <c r="C200" s="15"/>
      <c r="D200" s="16"/>
      <c r="E200" s="20">
        <v>414</v>
      </c>
      <c r="F200" s="50" t="s">
        <v>105</v>
      </c>
      <c r="G200" s="37"/>
      <c r="H200" s="37"/>
      <c r="I200" s="37"/>
      <c r="J200" s="75">
        <f>M200</f>
        <v>0</v>
      </c>
      <c r="K200" s="35">
        <f>'1.02.'!M190</f>
        <v>0</v>
      </c>
      <c r="L200" s="35"/>
      <c r="M200" s="92">
        <f t="shared" ref="M200:M201" si="118">K200+L200</f>
        <v>0</v>
      </c>
      <c r="N200" s="93">
        <f t="shared" ref="N200:N201" si="119">I200-M200</f>
        <v>0</v>
      </c>
      <c r="O200" s="70" t="e">
        <f t="shared" ref="O200:O201" si="120">M200/I200*100</f>
        <v>#DIV/0!</v>
      </c>
      <c r="P200" s="71">
        <f t="shared" si="92"/>
        <v>0</v>
      </c>
      <c r="Q200" s="35">
        <f t="shared" si="93"/>
        <v>0</v>
      </c>
      <c r="R200" s="72">
        <v>1103761</v>
      </c>
      <c r="S200" s="72">
        <f t="shared" si="94"/>
        <v>0</v>
      </c>
    </row>
    <row r="201" spans="1:20" ht="25.5">
      <c r="A201" s="100"/>
      <c r="B201" s="15"/>
      <c r="C201" s="15"/>
      <c r="D201" s="16"/>
      <c r="E201" s="20">
        <v>421</v>
      </c>
      <c r="F201" s="136" t="s">
        <v>156</v>
      </c>
      <c r="G201" s="37">
        <v>350929</v>
      </c>
      <c r="H201" s="37">
        <v>350929</v>
      </c>
      <c r="I201" s="37">
        <v>153203</v>
      </c>
      <c r="J201" s="75">
        <v>350929</v>
      </c>
      <c r="K201" s="35">
        <f>'1.03.'!M191</f>
        <v>153202.19500000001</v>
      </c>
      <c r="L201" s="35"/>
      <c r="M201" s="92">
        <f t="shared" si="118"/>
        <v>153202.19500000001</v>
      </c>
      <c r="N201" s="93">
        <f t="shared" si="119"/>
        <v>0.80499999999301508</v>
      </c>
      <c r="O201" s="70">
        <f t="shared" si="120"/>
        <v>99.999474553370376</v>
      </c>
      <c r="P201" s="71">
        <f t="shared" si="92"/>
        <v>197726.80499999999</v>
      </c>
      <c r="Q201" s="35">
        <f t="shared" si="93"/>
        <v>0</v>
      </c>
      <c r="R201" s="72">
        <v>1103762</v>
      </c>
      <c r="S201" s="72">
        <f t="shared" si="94"/>
        <v>197726.80499999999</v>
      </c>
    </row>
    <row r="202" spans="1:20" s="73" customFormat="1">
      <c r="A202" s="100"/>
      <c r="B202" s="8" t="s">
        <v>20</v>
      </c>
      <c r="C202" s="8"/>
      <c r="D202" s="21"/>
      <c r="E202" s="21"/>
      <c r="F202" s="139" t="s">
        <v>125</v>
      </c>
      <c r="G202" s="59">
        <f>G203+G223</f>
        <v>636935</v>
      </c>
      <c r="H202" s="59">
        <f t="shared" ref="H202:N202" si="121">H203+H223</f>
        <v>188219.2</v>
      </c>
      <c r="I202" s="59">
        <f t="shared" si="121"/>
        <v>118143.2</v>
      </c>
      <c r="J202" s="29">
        <f t="shared" si="121"/>
        <v>123646.08197999997</v>
      </c>
      <c r="K202" s="29">
        <f t="shared" si="121"/>
        <v>76408.582340000008</v>
      </c>
      <c r="L202" s="59">
        <f t="shared" si="121"/>
        <v>41046.863129999991</v>
      </c>
      <c r="M202" s="29">
        <f t="shared" si="121"/>
        <v>117455.44546999998</v>
      </c>
      <c r="N202" s="29">
        <f t="shared" si="121"/>
        <v>687.75452999999334</v>
      </c>
      <c r="O202" s="68">
        <f t="shared" si="101"/>
        <v>99.417863634978559</v>
      </c>
      <c r="P202" s="71">
        <f t="shared" si="92"/>
        <v>6190.6365099999966</v>
      </c>
      <c r="Q202" s="35">
        <f t="shared" si="93"/>
        <v>64573.118020000038</v>
      </c>
      <c r="R202" s="72">
        <v>1103763</v>
      </c>
      <c r="S202" s="72">
        <f t="shared" si="94"/>
        <v>519479.55453000002</v>
      </c>
      <c r="T202" s="62">
        <f t="shared" si="97"/>
        <v>513288.91802000004</v>
      </c>
    </row>
    <row r="203" spans="1:20" s="95" customFormat="1" ht="76.5">
      <c r="A203" s="100"/>
      <c r="B203" s="8"/>
      <c r="C203" s="17" t="s">
        <v>23</v>
      </c>
      <c r="D203" s="17"/>
      <c r="E203" s="21"/>
      <c r="F203" s="139" t="s">
        <v>124</v>
      </c>
      <c r="G203" s="59">
        <f>G204</f>
        <v>636935</v>
      </c>
      <c r="H203" s="59">
        <f t="shared" ref="H203:N203" si="122">H204</f>
        <v>188219.2</v>
      </c>
      <c r="I203" s="59">
        <f t="shared" si="122"/>
        <v>118143.2</v>
      </c>
      <c r="J203" s="59">
        <f t="shared" si="122"/>
        <v>123646.08197999997</v>
      </c>
      <c r="K203" s="29">
        <f t="shared" si="122"/>
        <v>76408.582340000008</v>
      </c>
      <c r="L203" s="59">
        <f t="shared" si="122"/>
        <v>41046.863129999991</v>
      </c>
      <c r="M203" s="29">
        <f t="shared" si="122"/>
        <v>117455.44546999998</v>
      </c>
      <c r="N203" s="29">
        <f t="shared" si="122"/>
        <v>687.75452999999334</v>
      </c>
      <c r="O203" s="68">
        <f t="shared" si="101"/>
        <v>99.417863634978559</v>
      </c>
      <c r="P203" s="71">
        <f t="shared" si="92"/>
        <v>6190.6365099999966</v>
      </c>
      <c r="Q203" s="35">
        <f t="shared" si="93"/>
        <v>64573.118020000038</v>
      </c>
      <c r="R203" s="72">
        <v>1103764</v>
      </c>
      <c r="S203" s="72">
        <f t="shared" si="94"/>
        <v>519479.55453000002</v>
      </c>
      <c r="T203" s="62">
        <f t="shared" si="97"/>
        <v>513288.91802000004</v>
      </c>
    </row>
    <row r="204" spans="1:20">
      <c r="A204" s="100"/>
      <c r="B204" s="8"/>
      <c r="C204" s="17"/>
      <c r="D204" s="17" t="s">
        <v>7</v>
      </c>
      <c r="E204" s="10"/>
      <c r="F204" s="140" t="s">
        <v>85</v>
      </c>
      <c r="G204" s="59">
        <f>SUM(G205:G222)</f>
        <v>636935</v>
      </c>
      <c r="H204" s="59">
        <f>SUM(H205:H222)</f>
        <v>188219.2</v>
      </c>
      <c r="I204" s="59">
        <f>SUM(I205:I222)</f>
        <v>118143.2</v>
      </c>
      <c r="J204" s="29">
        <f>SUM(J205:J222)</f>
        <v>123646.08197999997</v>
      </c>
      <c r="K204" s="29">
        <f>SUM(K205:K222)</f>
        <v>76408.582340000008</v>
      </c>
      <c r="L204" s="29">
        <f t="shared" ref="L204:N204" si="123">SUM(L205:L222)</f>
        <v>41046.863129999991</v>
      </c>
      <c r="M204" s="29">
        <f>SUM(M205:M222)</f>
        <v>117455.44546999998</v>
      </c>
      <c r="N204" s="29">
        <f t="shared" si="123"/>
        <v>687.75452999999334</v>
      </c>
      <c r="O204" s="68">
        <f>M204/I204*100</f>
        <v>99.417863634978559</v>
      </c>
      <c r="P204" s="71">
        <f t="shared" si="92"/>
        <v>6190.6365099999966</v>
      </c>
      <c r="Q204" s="35">
        <f t="shared" si="93"/>
        <v>64573.118020000038</v>
      </c>
      <c r="R204" s="72">
        <v>1103765</v>
      </c>
      <c r="S204" s="72">
        <f t="shared" si="94"/>
        <v>519479.55453000002</v>
      </c>
      <c r="T204" s="62">
        <f t="shared" si="97"/>
        <v>513288.91802000004</v>
      </c>
    </row>
    <row r="205" spans="1:20">
      <c r="A205" s="100"/>
      <c r="B205" s="9"/>
      <c r="C205" s="9"/>
      <c r="D205" s="69"/>
      <c r="E205" s="69">
        <v>111</v>
      </c>
      <c r="F205" s="136" t="s">
        <v>86</v>
      </c>
      <c r="G205" s="26">
        <v>367447</v>
      </c>
      <c r="H205" s="26">
        <v>91173</v>
      </c>
      <c r="I205" s="26">
        <v>91173</v>
      </c>
      <c r="J205" s="27">
        <f>M205</f>
        <v>90807.138000000006</v>
      </c>
      <c r="K205" s="35">
        <f>'1.03.'!M195</f>
        <v>60782</v>
      </c>
      <c r="L205" s="27">
        <v>30025.137999999999</v>
      </c>
      <c r="M205" s="92">
        <f>K205+L205</f>
        <v>90807.138000000006</v>
      </c>
      <c r="N205" s="93">
        <f t="shared" si="115"/>
        <v>365.86199999999371</v>
      </c>
      <c r="O205" s="70">
        <f t="shared" si="101"/>
        <v>99.598716725346321</v>
      </c>
      <c r="P205" s="71">
        <f t="shared" si="92"/>
        <v>0</v>
      </c>
      <c r="Q205" s="35">
        <f t="shared" si="93"/>
        <v>365.86199999999371</v>
      </c>
      <c r="R205" s="72">
        <v>1103766</v>
      </c>
      <c r="S205" s="72">
        <f t="shared" si="94"/>
        <v>276639.86199999996</v>
      </c>
      <c r="T205" s="62">
        <f t="shared" si="97"/>
        <v>276639.86199999996</v>
      </c>
    </row>
    <row r="206" spans="1:20">
      <c r="A206" s="100"/>
      <c r="B206" s="9"/>
      <c r="C206" s="9"/>
      <c r="D206" s="69"/>
      <c r="E206" s="69">
        <v>112</v>
      </c>
      <c r="F206" s="136" t="s">
        <v>87</v>
      </c>
      <c r="G206" s="26"/>
      <c r="H206" s="26"/>
      <c r="I206" s="26"/>
      <c r="J206" s="27">
        <f t="shared" ref="J206:J222" si="124">M206</f>
        <v>0</v>
      </c>
      <c r="K206" s="35">
        <f>'1.03.'!M196</f>
        <v>0</v>
      </c>
      <c r="L206" s="27"/>
      <c r="M206" s="92">
        <f>K206+L206</f>
        <v>0</v>
      </c>
      <c r="N206" s="93">
        <f t="shared" si="115"/>
        <v>0</v>
      </c>
      <c r="O206" s="70" t="e">
        <f t="shared" si="101"/>
        <v>#DIV/0!</v>
      </c>
      <c r="P206" s="71">
        <f t="shared" si="92"/>
        <v>0</v>
      </c>
      <c r="Q206" s="35">
        <f t="shared" si="93"/>
        <v>0</v>
      </c>
      <c r="R206" s="72">
        <v>1103767</v>
      </c>
      <c r="S206" s="72">
        <f t="shared" si="94"/>
        <v>0</v>
      </c>
    </row>
    <row r="207" spans="1:20">
      <c r="A207" s="100"/>
      <c r="B207" s="9"/>
      <c r="C207" s="9"/>
      <c r="D207" s="69"/>
      <c r="E207" s="76">
        <v>113</v>
      </c>
      <c r="F207" s="136" t="s">
        <v>88</v>
      </c>
      <c r="G207" s="26">
        <v>11349</v>
      </c>
      <c r="H207" s="26">
        <v>1361</v>
      </c>
      <c r="I207" s="26">
        <v>1361</v>
      </c>
      <c r="J207" s="27">
        <f t="shared" si="124"/>
        <v>1360.684</v>
      </c>
      <c r="K207" s="35">
        <f>'1.03.'!M197</f>
        <v>1339</v>
      </c>
      <c r="L207" s="27">
        <v>21.684000000000001</v>
      </c>
      <c r="M207" s="92">
        <f t="shared" ref="M207:M222" si="125">K207+L207</f>
        <v>1360.684</v>
      </c>
      <c r="N207" s="93">
        <f>I207-M207</f>
        <v>0.31600000000003092</v>
      </c>
      <c r="O207" s="70">
        <f>M207/I207*100</f>
        <v>99.976781778104325</v>
      </c>
      <c r="P207" s="71">
        <f t="shared" si="92"/>
        <v>0</v>
      </c>
      <c r="Q207" s="35">
        <f t="shared" si="93"/>
        <v>0.31600000000003092</v>
      </c>
      <c r="R207" s="72">
        <v>1103768</v>
      </c>
      <c r="S207" s="72">
        <f t="shared" si="94"/>
        <v>9988.3160000000007</v>
      </c>
      <c r="T207" s="62">
        <f t="shared" si="97"/>
        <v>9988.3160000000007</v>
      </c>
    </row>
    <row r="208" spans="1:20">
      <c r="A208" s="100"/>
      <c r="B208" s="9"/>
      <c r="C208" s="9"/>
      <c r="D208" s="69"/>
      <c r="E208" s="69">
        <v>116</v>
      </c>
      <c r="F208" s="136" t="s">
        <v>89</v>
      </c>
      <c r="G208" s="26">
        <v>11283</v>
      </c>
      <c r="H208" s="26">
        <v>2349</v>
      </c>
      <c r="I208" s="26">
        <v>2349</v>
      </c>
      <c r="J208" s="27">
        <f t="shared" si="124"/>
        <v>2348.87</v>
      </c>
      <c r="K208" s="35">
        <f>'1.03.'!M198</f>
        <v>1706</v>
      </c>
      <c r="L208" s="27">
        <v>642.87</v>
      </c>
      <c r="M208" s="92">
        <f t="shared" si="125"/>
        <v>2348.87</v>
      </c>
      <c r="N208" s="93">
        <f>I208-M208</f>
        <v>0.13000000000010914</v>
      </c>
      <c r="O208" s="70">
        <f>M208/I208*100</f>
        <v>99.994465730097915</v>
      </c>
      <c r="P208" s="71">
        <f t="shared" si="92"/>
        <v>0</v>
      </c>
      <c r="Q208" s="35">
        <f t="shared" si="93"/>
        <v>0.13000000000010914</v>
      </c>
      <c r="R208" s="72">
        <v>1103769</v>
      </c>
      <c r="S208" s="72">
        <f t="shared" si="94"/>
        <v>8934.130000000001</v>
      </c>
    </row>
    <row r="209" spans="1:20">
      <c r="A209" s="100"/>
      <c r="B209" s="9"/>
      <c r="C209" s="9"/>
      <c r="D209" s="69"/>
      <c r="E209" s="69">
        <v>121</v>
      </c>
      <c r="F209" s="136" t="s">
        <v>90</v>
      </c>
      <c r="G209" s="26">
        <v>19034</v>
      </c>
      <c r="H209" s="26">
        <v>4812</v>
      </c>
      <c r="I209" s="26">
        <v>4812</v>
      </c>
      <c r="J209" s="27">
        <f t="shared" si="124"/>
        <v>4812</v>
      </c>
      <c r="K209" s="35">
        <f>'1.03.'!M199</f>
        <v>3208</v>
      </c>
      <c r="L209" s="27">
        <v>1604</v>
      </c>
      <c r="M209" s="92">
        <f t="shared" si="125"/>
        <v>4812</v>
      </c>
      <c r="N209" s="93">
        <f t="shared" si="115"/>
        <v>0</v>
      </c>
      <c r="O209" s="70">
        <f t="shared" si="101"/>
        <v>100</v>
      </c>
      <c r="P209" s="71">
        <f t="shared" si="92"/>
        <v>0</v>
      </c>
      <c r="Q209" s="35">
        <f t="shared" si="93"/>
        <v>0</v>
      </c>
      <c r="R209" s="72">
        <v>1103770</v>
      </c>
      <c r="S209" s="72">
        <f t="shared" si="94"/>
        <v>14222</v>
      </c>
      <c r="T209" s="62">
        <f t="shared" si="97"/>
        <v>14222</v>
      </c>
    </row>
    <row r="210" spans="1:20" ht="25.5">
      <c r="A210" s="100"/>
      <c r="B210" s="9"/>
      <c r="C210" s="9"/>
      <c r="D210" s="69"/>
      <c r="E210" s="69">
        <v>122</v>
      </c>
      <c r="F210" s="136" t="s">
        <v>91</v>
      </c>
      <c r="G210" s="26">
        <v>16535</v>
      </c>
      <c r="H210" s="26">
        <v>4104</v>
      </c>
      <c r="I210" s="26">
        <v>4104</v>
      </c>
      <c r="J210" s="27">
        <f t="shared" si="124"/>
        <v>4104</v>
      </c>
      <c r="K210" s="35">
        <f>'1.03.'!M200</f>
        <v>2736</v>
      </c>
      <c r="L210" s="27">
        <v>1368</v>
      </c>
      <c r="M210" s="92">
        <f t="shared" si="125"/>
        <v>4104</v>
      </c>
      <c r="N210" s="93">
        <f t="shared" si="115"/>
        <v>0</v>
      </c>
      <c r="O210" s="70">
        <f t="shared" si="101"/>
        <v>100</v>
      </c>
      <c r="P210" s="71">
        <f t="shared" si="92"/>
        <v>0</v>
      </c>
      <c r="Q210" s="35">
        <f t="shared" si="93"/>
        <v>0</v>
      </c>
      <c r="R210" s="72">
        <v>1103771</v>
      </c>
      <c r="S210" s="72">
        <f t="shared" si="94"/>
        <v>12431</v>
      </c>
      <c r="T210" s="62">
        <f t="shared" si="97"/>
        <v>12431</v>
      </c>
    </row>
    <row r="211" spans="1:20">
      <c r="A211" s="100"/>
      <c r="B211" s="9"/>
      <c r="C211" s="9"/>
      <c r="D211" s="69"/>
      <c r="E211" s="69">
        <v>123</v>
      </c>
      <c r="F211" s="136" t="s">
        <v>92</v>
      </c>
      <c r="G211" s="26">
        <v>532</v>
      </c>
      <c r="H211" s="26">
        <v>78</v>
      </c>
      <c r="I211" s="26">
        <v>78</v>
      </c>
      <c r="J211" s="27">
        <f t="shared" si="124"/>
        <v>77.43374</v>
      </c>
      <c r="K211" s="35">
        <f>'1.03.'!M201</f>
        <v>0</v>
      </c>
      <c r="L211" s="27">
        <v>77.43374</v>
      </c>
      <c r="M211" s="92">
        <f t="shared" si="125"/>
        <v>77.43374</v>
      </c>
      <c r="N211" s="93">
        <f t="shared" si="115"/>
        <v>0.56625999999999976</v>
      </c>
      <c r="O211" s="70">
        <f>M211/I211*100</f>
        <v>99.274025641025645</v>
      </c>
      <c r="P211" s="71">
        <f t="shared" si="92"/>
        <v>0</v>
      </c>
      <c r="Q211" s="35">
        <f t="shared" si="93"/>
        <v>0.56625999999999976</v>
      </c>
      <c r="R211" s="72">
        <v>1103772</v>
      </c>
      <c r="S211" s="72">
        <f t="shared" si="94"/>
        <v>454.56626</v>
      </c>
      <c r="T211" s="62">
        <f t="shared" si="97"/>
        <v>454.56626</v>
      </c>
    </row>
    <row r="212" spans="1:20">
      <c r="A212" s="100"/>
      <c r="B212" s="9"/>
      <c r="C212" s="9"/>
      <c r="D212" s="69"/>
      <c r="E212" s="69">
        <v>124</v>
      </c>
      <c r="F212" s="136" t="s">
        <v>93</v>
      </c>
      <c r="G212" s="26">
        <v>11023</v>
      </c>
      <c r="H212" s="26">
        <v>1617</v>
      </c>
      <c r="I212" s="26">
        <v>1617</v>
      </c>
      <c r="J212" s="27">
        <f t="shared" si="124"/>
        <v>1616.771</v>
      </c>
      <c r="K212" s="35">
        <f>'1.03.'!M202</f>
        <v>882</v>
      </c>
      <c r="L212" s="27">
        <v>734.77099999999996</v>
      </c>
      <c r="M212" s="92">
        <f t="shared" si="125"/>
        <v>1616.771</v>
      </c>
      <c r="N212" s="93">
        <f t="shared" si="115"/>
        <v>0.22900000000004184</v>
      </c>
      <c r="O212" s="70">
        <f t="shared" si="101"/>
        <v>99.985837971552243</v>
      </c>
      <c r="P212" s="71">
        <f t="shared" ref="P212:P278" si="126">J212-M212</f>
        <v>0</v>
      </c>
      <c r="Q212" s="35">
        <f t="shared" ref="Q212:Q278" si="127">H212-J212</f>
        <v>0.22900000000004184</v>
      </c>
      <c r="R212" s="72">
        <v>1103773</v>
      </c>
      <c r="S212" s="72">
        <f t="shared" ref="S212:S278" si="128">G212-M212</f>
        <v>9406.2289999999994</v>
      </c>
      <c r="T212" s="62">
        <f t="shared" si="97"/>
        <v>9406.2289999999994</v>
      </c>
    </row>
    <row r="213" spans="1:20">
      <c r="A213" s="100"/>
      <c r="B213" s="9"/>
      <c r="C213" s="9"/>
      <c r="D213" s="69"/>
      <c r="E213" s="69">
        <v>141</v>
      </c>
      <c r="F213" s="136" t="s">
        <v>116</v>
      </c>
      <c r="G213" s="26">
        <v>103078</v>
      </c>
      <c r="H213" s="26">
        <v>60000</v>
      </c>
      <c r="I213" s="26"/>
      <c r="J213" s="27">
        <f t="shared" si="124"/>
        <v>0</v>
      </c>
      <c r="K213" s="35">
        <f>'1.03.'!M203</f>
        <v>0</v>
      </c>
      <c r="L213" s="27"/>
      <c r="M213" s="92">
        <f t="shared" si="125"/>
        <v>0</v>
      </c>
      <c r="N213" s="93">
        <f t="shared" si="115"/>
        <v>0</v>
      </c>
      <c r="O213" s="70" t="e">
        <f t="shared" si="101"/>
        <v>#DIV/0!</v>
      </c>
      <c r="P213" s="71">
        <f t="shared" si="126"/>
        <v>0</v>
      </c>
      <c r="Q213" s="35">
        <f t="shared" si="127"/>
        <v>60000</v>
      </c>
      <c r="R213" s="72">
        <v>1103774</v>
      </c>
      <c r="S213" s="72">
        <f t="shared" si="128"/>
        <v>103078</v>
      </c>
      <c r="T213" s="62">
        <f t="shared" si="97"/>
        <v>103078</v>
      </c>
    </row>
    <row r="214" spans="1:20" s="73" customFormat="1">
      <c r="A214" s="100"/>
      <c r="B214" s="9"/>
      <c r="C214" s="9"/>
      <c r="D214" s="69"/>
      <c r="E214" s="69">
        <v>142</v>
      </c>
      <c r="F214" s="136" t="s">
        <v>97</v>
      </c>
      <c r="G214" s="26">
        <v>26237</v>
      </c>
      <c r="H214" s="26">
        <v>829.7</v>
      </c>
      <c r="I214" s="26">
        <v>829.7</v>
      </c>
      <c r="J214" s="27">
        <f t="shared" si="124"/>
        <v>829.61289999999997</v>
      </c>
      <c r="K214" s="35">
        <f>'1.03.'!M204</f>
        <v>0</v>
      </c>
      <c r="L214" s="27">
        <v>829.61289999999997</v>
      </c>
      <c r="M214" s="92">
        <f t="shared" si="125"/>
        <v>829.61289999999997</v>
      </c>
      <c r="N214" s="93">
        <f t="shared" si="115"/>
        <v>8.7100000000077671E-2</v>
      </c>
      <c r="O214" s="70">
        <f t="shared" si="101"/>
        <v>99.989502229721566</v>
      </c>
      <c r="P214" s="71">
        <f t="shared" si="126"/>
        <v>0</v>
      </c>
      <c r="Q214" s="35">
        <f t="shared" si="127"/>
        <v>8.7100000000077671E-2</v>
      </c>
      <c r="R214" s="72">
        <v>1103775</v>
      </c>
      <c r="S214" s="72">
        <f t="shared" si="128"/>
        <v>25407.3871</v>
      </c>
      <c r="T214" s="62">
        <f t="shared" si="97"/>
        <v>25407.3871</v>
      </c>
    </row>
    <row r="215" spans="1:20">
      <c r="A215" s="100"/>
      <c r="B215" s="9"/>
      <c r="C215" s="9"/>
      <c r="D215" s="69"/>
      <c r="E215" s="69">
        <v>144</v>
      </c>
      <c r="F215" s="136" t="s">
        <v>98</v>
      </c>
      <c r="G215" s="26">
        <v>3824</v>
      </c>
      <c r="H215" s="26"/>
      <c r="I215" s="26"/>
      <c r="J215" s="27">
        <f t="shared" si="124"/>
        <v>0</v>
      </c>
      <c r="K215" s="35">
        <f>'1.03.'!M205</f>
        <v>0</v>
      </c>
      <c r="L215" s="27"/>
      <c r="M215" s="92">
        <f t="shared" si="125"/>
        <v>0</v>
      </c>
      <c r="N215" s="93">
        <f t="shared" si="115"/>
        <v>0</v>
      </c>
      <c r="O215" s="70" t="e">
        <f t="shared" si="101"/>
        <v>#DIV/0!</v>
      </c>
      <c r="P215" s="71">
        <f t="shared" si="126"/>
        <v>0</v>
      </c>
      <c r="Q215" s="35">
        <f t="shared" si="127"/>
        <v>0</v>
      </c>
      <c r="R215" s="72">
        <v>1103776</v>
      </c>
      <c r="S215" s="72">
        <f t="shared" si="128"/>
        <v>3824</v>
      </c>
      <c r="T215" s="62">
        <f t="shared" si="97"/>
        <v>3824</v>
      </c>
    </row>
    <row r="216" spans="1:20">
      <c r="A216" s="100"/>
      <c r="B216" s="9"/>
      <c r="C216" s="9"/>
      <c r="D216" s="69"/>
      <c r="E216" s="69">
        <v>149</v>
      </c>
      <c r="F216" s="136" t="s">
        <v>99</v>
      </c>
      <c r="G216" s="26">
        <v>9021</v>
      </c>
      <c r="H216" s="26">
        <v>800.5</v>
      </c>
      <c r="I216" s="26">
        <v>800.5</v>
      </c>
      <c r="J216" s="27">
        <f t="shared" si="124"/>
        <v>800.43269999999995</v>
      </c>
      <c r="K216" s="35">
        <f>'1.03.'!M206</f>
        <v>0</v>
      </c>
      <c r="L216" s="27">
        <v>800.43269999999995</v>
      </c>
      <c r="M216" s="92">
        <f t="shared" si="125"/>
        <v>800.43269999999995</v>
      </c>
      <c r="N216" s="93">
        <f t="shared" si="115"/>
        <v>6.7300000000045657E-2</v>
      </c>
      <c r="O216" s="70">
        <f t="shared" si="101"/>
        <v>99.991592754528412</v>
      </c>
      <c r="P216" s="71">
        <f t="shared" si="126"/>
        <v>0</v>
      </c>
      <c r="Q216" s="35">
        <f t="shared" si="127"/>
        <v>6.7300000000045657E-2</v>
      </c>
      <c r="R216" s="72">
        <v>1103777</v>
      </c>
      <c r="S216" s="72">
        <f t="shared" si="128"/>
        <v>8220.5673000000006</v>
      </c>
      <c r="T216" s="62">
        <f t="shared" si="97"/>
        <v>8220.5673000000006</v>
      </c>
    </row>
    <row r="217" spans="1:20">
      <c r="A217" s="100"/>
      <c r="B217" s="9"/>
      <c r="C217" s="9"/>
      <c r="D217" s="69"/>
      <c r="E217" s="69">
        <v>151</v>
      </c>
      <c r="F217" s="136" t="s">
        <v>100</v>
      </c>
      <c r="G217" s="26">
        <v>33050</v>
      </c>
      <c r="H217" s="26">
        <v>8187</v>
      </c>
      <c r="I217" s="26">
        <v>8187</v>
      </c>
      <c r="J217" s="27">
        <f t="shared" si="124"/>
        <v>8186.5036400000008</v>
      </c>
      <c r="K217" s="35">
        <f>'1.03.'!M207</f>
        <v>4526.6742700000004</v>
      </c>
      <c r="L217" s="27">
        <v>3659.8293699999999</v>
      </c>
      <c r="M217" s="92">
        <f t="shared" si="125"/>
        <v>8186.5036400000008</v>
      </c>
      <c r="N217" s="93">
        <f t="shared" si="115"/>
        <v>0.49635999999918567</v>
      </c>
      <c r="O217" s="70">
        <f t="shared" si="101"/>
        <v>99.993937217540008</v>
      </c>
      <c r="P217" s="71">
        <f t="shared" si="126"/>
        <v>0</v>
      </c>
      <c r="Q217" s="35">
        <f t="shared" si="127"/>
        <v>0.49635999999918567</v>
      </c>
      <c r="R217" s="72">
        <v>1103778</v>
      </c>
      <c r="S217" s="72">
        <f t="shared" si="128"/>
        <v>24863.496359999997</v>
      </c>
      <c r="T217" s="62">
        <f t="shared" si="97"/>
        <v>24863.496359999997</v>
      </c>
    </row>
    <row r="218" spans="1:20" ht="25.5">
      <c r="A218" s="100"/>
      <c r="B218" s="9"/>
      <c r="C218" s="9"/>
      <c r="D218" s="69"/>
      <c r="E218" s="69">
        <v>152</v>
      </c>
      <c r="F218" s="136" t="s">
        <v>101</v>
      </c>
      <c r="G218" s="26">
        <v>3322</v>
      </c>
      <c r="H218" s="26">
        <v>3322</v>
      </c>
      <c r="I218" s="26">
        <v>277</v>
      </c>
      <c r="J218" s="27">
        <v>1939.52</v>
      </c>
      <c r="K218" s="35">
        <f>'1.03.'!M208</f>
        <v>0</v>
      </c>
      <c r="L218" s="27"/>
      <c r="M218" s="92">
        <f t="shared" si="125"/>
        <v>0</v>
      </c>
      <c r="N218" s="93">
        <f t="shared" si="115"/>
        <v>277</v>
      </c>
      <c r="O218" s="70">
        <f t="shared" si="101"/>
        <v>0</v>
      </c>
      <c r="P218" s="71">
        <f t="shared" si="126"/>
        <v>1939.52</v>
      </c>
      <c r="Q218" s="35">
        <f t="shared" si="127"/>
        <v>1382.48</v>
      </c>
      <c r="R218" s="72">
        <v>1103779</v>
      </c>
      <c r="S218" s="72">
        <f t="shared" si="128"/>
        <v>3322</v>
      </c>
      <c r="T218" s="62">
        <f t="shared" si="97"/>
        <v>1382.48</v>
      </c>
    </row>
    <row r="219" spans="1:20">
      <c r="A219" s="100"/>
      <c r="B219" s="9"/>
      <c r="C219" s="9"/>
      <c r="D219" s="69"/>
      <c r="E219" s="69">
        <v>158</v>
      </c>
      <c r="F219" s="136" t="s">
        <v>84</v>
      </c>
      <c r="G219" s="26">
        <v>2290</v>
      </c>
      <c r="H219" s="26">
        <v>2290</v>
      </c>
      <c r="I219" s="26">
        <v>122</v>
      </c>
      <c r="J219" s="27">
        <v>1878.4</v>
      </c>
      <c r="K219" s="35">
        <f>'1.03.'!M209</f>
        <v>61</v>
      </c>
      <c r="L219" s="27">
        <v>61</v>
      </c>
      <c r="M219" s="92">
        <f t="shared" si="125"/>
        <v>122</v>
      </c>
      <c r="N219" s="93">
        <f t="shared" si="115"/>
        <v>0</v>
      </c>
      <c r="O219" s="70">
        <f t="shared" si="101"/>
        <v>100</v>
      </c>
      <c r="P219" s="71">
        <f t="shared" si="126"/>
        <v>1756.4</v>
      </c>
      <c r="Q219" s="35">
        <f t="shared" si="127"/>
        <v>411.59999999999991</v>
      </c>
      <c r="R219" s="72">
        <v>1103780</v>
      </c>
      <c r="S219" s="72">
        <f t="shared" si="128"/>
        <v>2168</v>
      </c>
      <c r="T219" s="62">
        <f t="shared" si="97"/>
        <v>411.59999999999991</v>
      </c>
    </row>
    <row r="220" spans="1:20">
      <c r="A220" s="100"/>
      <c r="B220" s="9"/>
      <c r="C220" s="9"/>
      <c r="D220" s="69"/>
      <c r="E220" s="69">
        <v>159</v>
      </c>
      <c r="F220" s="136" t="s">
        <v>102</v>
      </c>
      <c r="G220" s="26">
        <f>16176-1560</f>
        <v>14616</v>
      </c>
      <c r="H220" s="26">
        <v>6494</v>
      </c>
      <c r="I220" s="26">
        <v>1631</v>
      </c>
      <c r="J220" s="27">
        <v>4082.7159999999999</v>
      </c>
      <c r="K220" s="35">
        <f>'1.03.'!M210</f>
        <v>766.90806999999995</v>
      </c>
      <c r="L220" s="27">
        <v>821.09141999999997</v>
      </c>
      <c r="M220" s="92">
        <f t="shared" si="125"/>
        <v>1587.9994899999999</v>
      </c>
      <c r="N220" s="93">
        <f t="shared" si="115"/>
        <v>43.000510000000077</v>
      </c>
      <c r="O220" s="70">
        <f t="shared" si="101"/>
        <v>97.36354935622316</v>
      </c>
      <c r="P220" s="71">
        <f t="shared" si="126"/>
        <v>2494.7165100000002</v>
      </c>
      <c r="Q220" s="35">
        <f t="shared" si="127"/>
        <v>2411.2840000000001</v>
      </c>
      <c r="R220" s="72">
        <v>1103781</v>
      </c>
      <c r="S220" s="72">
        <f t="shared" si="128"/>
        <v>13028.00051</v>
      </c>
      <c r="T220" s="62">
        <f t="shared" si="97"/>
        <v>10533.284</v>
      </c>
    </row>
    <row r="221" spans="1:20">
      <c r="A221" s="100"/>
      <c r="B221" s="9"/>
      <c r="C221" s="9"/>
      <c r="D221" s="69"/>
      <c r="E221" s="69">
        <v>161</v>
      </c>
      <c r="F221" s="136" t="s">
        <v>103</v>
      </c>
      <c r="G221" s="26">
        <v>4231</v>
      </c>
      <c r="H221" s="26">
        <v>802</v>
      </c>
      <c r="I221" s="26">
        <v>802</v>
      </c>
      <c r="J221" s="27">
        <f t="shared" si="124"/>
        <v>802</v>
      </c>
      <c r="K221" s="35">
        <f>'1.03.'!M211</f>
        <v>401</v>
      </c>
      <c r="L221" s="27">
        <v>401</v>
      </c>
      <c r="M221" s="92">
        <f t="shared" si="125"/>
        <v>802</v>
      </c>
      <c r="N221" s="93">
        <f t="shared" si="115"/>
        <v>0</v>
      </c>
      <c r="O221" s="70">
        <f t="shared" si="101"/>
        <v>100</v>
      </c>
      <c r="P221" s="71">
        <f t="shared" si="126"/>
        <v>0</v>
      </c>
      <c r="Q221" s="35">
        <f t="shared" si="127"/>
        <v>0</v>
      </c>
      <c r="R221" s="72">
        <v>1103782</v>
      </c>
      <c r="S221" s="72">
        <f t="shared" si="128"/>
        <v>3429</v>
      </c>
      <c r="T221" s="62">
        <f t="shared" si="97"/>
        <v>3429</v>
      </c>
    </row>
    <row r="222" spans="1:20">
      <c r="A222" s="100"/>
      <c r="B222" s="9"/>
      <c r="C222" s="9"/>
      <c r="D222" s="69"/>
      <c r="E222" s="69">
        <v>169</v>
      </c>
      <c r="F222" s="136" t="s">
        <v>103</v>
      </c>
      <c r="G222" s="26">
        <v>63</v>
      </c>
      <c r="H222" s="26"/>
      <c r="I222" s="26"/>
      <c r="J222" s="27">
        <f t="shared" si="124"/>
        <v>0</v>
      </c>
      <c r="K222" s="35">
        <f>'1.03.'!M212</f>
        <v>0</v>
      </c>
      <c r="L222" s="27"/>
      <c r="M222" s="92">
        <f t="shared" si="125"/>
        <v>0</v>
      </c>
      <c r="N222" s="93">
        <f t="shared" si="115"/>
        <v>0</v>
      </c>
      <c r="O222" s="70" t="e">
        <f t="shared" si="101"/>
        <v>#DIV/0!</v>
      </c>
      <c r="P222" s="71">
        <f t="shared" si="126"/>
        <v>0</v>
      </c>
      <c r="Q222" s="35">
        <f t="shared" si="127"/>
        <v>0</v>
      </c>
      <c r="R222" s="72">
        <v>1103783</v>
      </c>
      <c r="S222" s="72">
        <f t="shared" si="128"/>
        <v>63</v>
      </c>
      <c r="T222" s="62">
        <f t="shared" si="97"/>
        <v>63</v>
      </c>
    </row>
    <row r="223" spans="1:20" ht="25.5" hidden="1">
      <c r="A223" s="100"/>
      <c r="B223" s="15"/>
      <c r="C223" s="57" t="s">
        <v>43</v>
      </c>
      <c r="D223" s="18"/>
      <c r="E223" s="115"/>
      <c r="F223" s="67" t="s">
        <v>44</v>
      </c>
      <c r="G223" s="59">
        <f t="shared" ref="G223:N224" si="129">G224</f>
        <v>0</v>
      </c>
      <c r="H223" s="59">
        <f t="shared" si="129"/>
        <v>0</v>
      </c>
      <c r="I223" s="59">
        <f t="shared" si="129"/>
        <v>0</v>
      </c>
      <c r="J223" s="33">
        <f t="shared" si="129"/>
        <v>0</v>
      </c>
      <c r="K223" s="35">
        <f>'1.02.'!M213</f>
        <v>0</v>
      </c>
      <c r="L223" s="59">
        <f t="shared" si="129"/>
        <v>0</v>
      </c>
      <c r="M223" s="59">
        <f t="shared" si="129"/>
        <v>0</v>
      </c>
      <c r="N223" s="59">
        <f t="shared" si="129"/>
        <v>0</v>
      </c>
      <c r="O223" s="70"/>
      <c r="P223" s="71">
        <f t="shared" si="126"/>
        <v>0</v>
      </c>
      <c r="Q223" s="35">
        <f t="shared" si="127"/>
        <v>0</v>
      </c>
      <c r="R223" s="72">
        <v>1103784</v>
      </c>
      <c r="S223" s="72">
        <f t="shared" si="128"/>
        <v>0</v>
      </c>
    </row>
    <row r="224" spans="1:20" hidden="1">
      <c r="A224" s="9"/>
      <c r="B224" s="12"/>
      <c r="C224" s="12"/>
      <c r="D224" s="11" t="s">
        <v>7</v>
      </c>
      <c r="E224" s="97"/>
      <c r="F224" s="4" t="s">
        <v>22</v>
      </c>
      <c r="G224" s="98">
        <f t="shared" si="129"/>
        <v>0</v>
      </c>
      <c r="H224" s="98">
        <f t="shared" si="129"/>
        <v>0</v>
      </c>
      <c r="I224" s="98">
        <f t="shared" si="129"/>
        <v>0</v>
      </c>
      <c r="J224" s="99">
        <f>J225</f>
        <v>0</v>
      </c>
      <c r="K224" s="35">
        <f>'1.02.'!M214</f>
        <v>0</v>
      </c>
      <c r="L224" s="98">
        <f t="shared" si="129"/>
        <v>0</v>
      </c>
      <c r="M224" s="98">
        <f t="shared" si="129"/>
        <v>0</v>
      </c>
      <c r="N224" s="98">
        <f t="shared" si="129"/>
        <v>0</v>
      </c>
      <c r="O224" s="68" t="e">
        <f>M224/I224*100</f>
        <v>#DIV/0!</v>
      </c>
      <c r="P224" s="71">
        <f t="shared" si="126"/>
        <v>0</v>
      </c>
      <c r="Q224" s="35">
        <f t="shared" si="127"/>
        <v>0</v>
      </c>
      <c r="R224" s="72">
        <v>1103785</v>
      </c>
      <c r="S224" s="72">
        <f t="shared" si="128"/>
        <v>0</v>
      </c>
      <c r="T224" s="62">
        <f>G224-J224</f>
        <v>0</v>
      </c>
    </row>
    <row r="225" spans="1:20" ht="25.5" hidden="1">
      <c r="A225" s="100"/>
      <c r="B225" s="15"/>
      <c r="C225" s="15"/>
      <c r="D225" s="16"/>
      <c r="E225" s="20">
        <v>414</v>
      </c>
      <c r="F225" s="86" t="s">
        <v>64</v>
      </c>
      <c r="G225" s="37"/>
      <c r="H225" s="37"/>
      <c r="I225" s="37"/>
      <c r="J225" s="75">
        <f>M225</f>
        <v>0</v>
      </c>
      <c r="K225" s="35">
        <f>'1.02.'!M215</f>
        <v>0</v>
      </c>
      <c r="L225" s="35"/>
      <c r="M225" s="93">
        <f t="shared" ref="M225" si="130">K225+L225</f>
        <v>0</v>
      </c>
      <c r="N225" s="93">
        <f t="shared" ref="N225" si="131">I225-M225</f>
        <v>0</v>
      </c>
      <c r="O225" s="70" t="e">
        <f>M225/I225*100</f>
        <v>#DIV/0!</v>
      </c>
      <c r="P225" s="71">
        <f t="shared" si="126"/>
        <v>0</v>
      </c>
      <c r="Q225" s="35">
        <f t="shared" si="127"/>
        <v>0</v>
      </c>
      <c r="R225" s="72">
        <v>1103786</v>
      </c>
      <c r="S225" s="72">
        <f t="shared" si="128"/>
        <v>0</v>
      </c>
    </row>
    <row r="226" spans="1:20" s="73" customFormat="1" ht="38.25">
      <c r="A226" s="100"/>
      <c r="B226" s="17">
        <v>1267</v>
      </c>
      <c r="C226" s="8"/>
      <c r="D226" s="21"/>
      <c r="E226" s="21"/>
      <c r="F226" s="139" t="s">
        <v>126</v>
      </c>
      <c r="G226" s="42">
        <f t="shared" ref="G226:N226" si="132">G227+G230+G249+G253+G271</f>
        <v>7960352</v>
      </c>
      <c r="H226" s="42">
        <f t="shared" si="132"/>
        <v>825452.9</v>
      </c>
      <c r="I226" s="42">
        <f t="shared" si="132"/>
        <v>782744.7</v>
      </c>
      <c r="J226" s="29">
        <f t="shared" si="132"/>
        <v>823539.41583000007</v>
      </c>
      <c r="K226" s="29">
        <f>'1.02.'!M216</f>
        <v>60896.595510000006</v>
      </c>
      <c r="L226" s="42">
        <f t="shared" si="132"/>
        <v>386365.96308999998</v>
      </c>
      <c r="M226" s="29">
        <f t="shared" si="132"/>
        <v>782660.18021000002</v>
      </c>
      <c r="N226" s="29">
        <f t="shared" si="132"/>
        <v>84.519790000030753</v>
      </c>
      <c r="O226" s="68">
        <f t="shared" si="101"/>
        <v>99.989202125546186</v>
      </c>
      <c r="P226" s="71">
        <f t="shared" si="126"/>
        <v>40879.23562000005</v>
      </c>
      <c r="Q226" s="35">
        <f t="shared" si="127"/>
        <v>1913.4841699999524</v>
      </c>
      <c r="R226" s="72">
        <v>1103787</v>
      </c>
      <c r="S226" s="72">
        <f t="shared" si="128"/>
        <v>7177691.8197900001</v>
      </c>
      <c r="T226" s="62">
        <f t="shared" si="97"/>
        <v>7136812.5841699997</v>
      </c>
    </row>
    <row r="227" spans="1:20" ht="25.5">
      <c r="A227" s="103"/>
      <c r="B227" s="8"/>
      <c r="C227" s="17" t="s">
        <v>28</v>
      </c>
      <c r="D227" s="21"/>
      <c r="E227" s="21"/>
      <c r="F227" s="125" t="s">
        <v>127</v>
      </c>
      <c r="G227" s="23">
        <f>G228</f>
        <v>19620</v>
      </c>
      <c r="H227" s="23">
        <f t="shared" ref="H227:O228" si="133">H228</f>
        <v>0</v>
      </c>
      <c r="I227" s="23">
        <f t="shared" si="133"/>
        <v>0</v>
      </c>
      <c r="J227" s="38">
        <f t="shared" si="133"/>
        <v>0</v>
      </c>
      <c r="K227" s="35">
        <f>'1.02.'!M217</f>
        <v>0</v>
      </c>
      <c r="L227" s="23">
        <f t="shared" si="133"/>
        <v>0</v>
      </c>
      <c r="M227" s="25">
        <f t="shared" si="133"/>
        <v>0</v>
      </c>
      <c r="N227" s="23">
        <f t="shared" si="133"/>
        <v>0</v>
      </c>
      <c r="O227" s="39" t="e">
        <f t="shared" si="133"/>
        <v>#DIV/0!</v>
      </c>
      <c r="P227" s="71">
        <f t="shared" si="126"/>
        <v>0</v>
      </c>
      <c r="Q227" s="35">
        <f t="shared" si="127"/>
        <v>0</v>
      </c>
      <c r="R227" s="72">
        <v>1103788</v>
      </c>
      <c r="S227" s="72">
        <f t="shared" si="128"/>
        <v>19620</v>
      </c>
    </row>
    <row r="228" spans="1:20">
      <c r="A228" s="100"/>
      <c r="B228" s="8"/>
      <c r="C228" s="8"/>
      <c r="D228" s="17" t="s">
        <v>7</v>
      </c>
      <c r="E228" s="10"/>
      <c r="F228" s="140" t="s">
        <v>85</v>
      </c>
      <c r="G228" s="59">
        <f>G229</f>
        <v>19620</v>
      </c>
      <c r="H228" s="59">
        <f t="shared" si="133"/>
        <v>0</v>
      </c>
      <c r="I228" s="59">
        <f t="shared" si="133"/>
        <v>0</v>
      </c>
      <c r="J228" s="59">
        <f t="shared" si="133"/>
        <v>0</v>
      </c>
      <c r="K228" s="35">
        <f>'1.02.'!M218</f>
        <v>0</v>
      </c>
      <c r="L228" s="59">
        <f t="shared" si="133"/>
        <v>0</v>
      </c>
      <c r="M228" s="59">
        <f t="shared" si="133"/>
        <v>0</v>
      </c>
      <c r="N228" s="59">
        <f t="shared" si="133"/>
        <v>0</v>
      </c>
      <c r="O228" s="68" t="e">
        <f>M228/I228*100</f>
        <v>#DIV/0!</v>
      </c>
      <c r="P228" s="71">
        <f t="shared" si="126"/>
        <v>0</v>
      </c>
      <c r="Q228" s="35">
        <f t="shared" si="127"/>
        <v>0</v>
      </c>
      <c r="R228" s="72">
        <v>1103789</v>
      </c>
      <c r="S228" s="72">
        <f t="shared" si="128"/>
        <v>19620</v>
      </c>
    </row>
    <row r="229" spans="1:20">
      <c r="A229" s="100"/>
      <c r="B229" s="9"/>
      <c r="C229" s="9"/>
      <c r="D229" s="69"/>
      <c r="E229" s="69">
        <v>159</v>
      </c>
      <c r="F229" s="136" t="s">
        <v>84</v>
      </c>
      <c r="G229" s="26">
        <v>19620</v>
      </c>
      <c r="H229" s="26"/>
      <c r="I229" s="26"/>
      <c r="J229" s="105">
        <f>M229</f>
        <v>0</v>
      </c>
      <c r="K229" s="35">
        <f>'1.02.'!M219</f>
        <v>0</v>
      </c>
      <c r="L229" s="27"/>
      <c r="M229" s="92">
        <f>K229+L229</f>
        <v>0</v>
      </c>
      <c r="N229" s="93">
        <f>I229-M229</f>
        <v>0</v>
      </c>
      <c r="O229" s="70" t="e">
        <f>M229/I229*100</f>
        <v>#DIV/0!</v>
      </c>
      <c r="P229" s="71">
        <f t="shared" si="126"/>
        <v>0</v>
      </c>
      <c r="Q229" s="35">
        <f t="shared" si="127"/>
        <v>0</v>
      </c>
      <c r="R229" s="72">
        <v>1103790</v>
      </c>
      <c r="S229" s="72">
        <f t="shared" si="128"/>
        <v>19620</v>
      </c>
    </row>
    <row r="230" spans="1:20" s="95" customFormat="1" ht="51">
      <c r="A230" s="100"/>
      <c r="B230" s="8"/>
      <c r="C230" s="17" t="s">
        <v>29</v>
      </c>
      <c r="D230" s="21"/>
      <c r="E230" s="21"/>
      <c r="F230" s="139" t="s">
        <v>128</v>
      </c>
      <c r="G230" s="59">
        <f>G231</f>
        <v>947699</v>
      </c>
      <c r="H230" s="59">
        <f t="shared" ref="H230:N230" si="134">H231</f>
        <v>273968.90000000002</v>
      </c>
      <c r="I230" s="59">
        <f t="shared" si="134"/>
        <v>231260.7</v>
      </c>
      <c r="J230" s="59">
        <f t="shared" si="134"/>
        <v>272055.93680000002</v>
      </c>
      <c r="K230" s="59">
        <f t="shared" si="134"/>
        <v>136700.47809000002</v>
      </c>
      <c r="L230" s="59">
        <f t="shared" si="134"/>
        <v>94476.223090000014</v>
      </c>
      <c r="M230" s="29">
        <f t="shared" si="134"/>
        <v>231176.70118</v>
      </c>
      <c r="N230" s="29">
        <f t="shared" si="134"/>
        <v>83.998820000007981</v>
      </c>
      <c r="O230" s="68">
        <f>M230/I230*100</f>
        <v>99.963677866580866</v>
      </c>
      <c r="P230" s="71">
        <f t="shared" si="126"/>
        <v>40879.235620000021</v>
      </c>
      <c r="Q230" s="35">
        <f t="shared" si="127"/>
        <v>1912.9631999999983</v>
      </c>
      <c r="R230" s="72">
        <v>1103791</v>
      </c>
      <c r="S230" s="72">
        <f t="shared" si="128"/>
        <v>716522.29882000003</v>
      </c>
      <c r="T230" s="62">
        <f t="shared" si="97"/>
        <v>675643.06319999998</v>
      </c>
    </row>
    <row r="231" spans="1:20">
      <c r="A231" s="100"/>
      <c r="B231" s="8"/>
      <c r="C231" s="8"/>
      <c r="D231" s="17" t="s">
        <v>7</v>
      </c>
      <c r="E231" s="10"/>
      <c r="F231" s="140" t="s">
        <v>85</v>
      </c>
      <c r="G231" s="59">
        <f>SUM(G232:G248)</f>
        <v>947699</v>
      </c>
      <c r="H231" s="59">
        <f>SUM(H232:H248)</f>
        <v>273968.90000000002</v>
      </c>
      <c r="I231" s="59">
        <f t="shared" ref="I231:M231" si="135">SUM(I232:I248)</f>
        <v>231260.7</v>
      </c>
      <c r="J231" s="59">
        <f t="shared" si="135"/>
        <v>272055.93680000002</v>
      </c>
      <c r="K231" s="59">
        <f t="shared" si="135"/>
        <v>136700.47809000002</v>
      </c>
      <c r="L231" s="59">
        <f t="shared" si="135"/>
        <v>94476.223090000014</v>
      </c>
      <c r="M231" s="59">
        <f t="shared" si="135"/>
        <v>231176.70118</v>
      </c>
      <c r="N231" s="102">
        <f>I231-M231</f>
        <v>83.998820000007981</v>
      </c>
      <c r="O231" s="68">
        <f>M231/I231*100</f>
        <v>99.963677866580866</v>
      </c>
      <c r="P231" s="71">
        <f t="shared" si="126"/>
        <v>40879.235620000021</v>
      </c>
      <c r="Q231" s="35">
        <f t="shared" si="127"/>
        <v>1912.9631999999983</v>
      </c>
      <c r="R231" s="72">
        <v>1103792</v>
      </c>
      <c r="S231" s="72">
        <f t="shared" si="128"/>
        <v>716522.29882000003</v>
      </c>
      <c r="T231" s="62">
        <f t="shared" ref="T231:T248" si="136">G231-J231</f>
        <v>675643.06319999998</v>
      </c>
    </row>
    <row r="232" spans="1:20">
      <c r="A232" s="100"/>
      <c r="B232" s="9"/>
      <c r="C232" s="9"/>
      <c r="D232" s="69"/>
      <c r="E232" s="69">
        <v>111</v>
      </c>
      <c r="F232" s="136" t="s">
        <v>86</v>
      </c>
      <c r="G232" s="26">
        <v>686021</v>
      </c>
      <c r="H232" s="26">
        <v>183000</v>
      </c>
      <c r="I232" s="26">
        <v>183000</v>
      </c>
      <c r="J232" s="105">
        <f>M232</f>
        <v>183000</v>
      </c>
      <c r="K232" s="35">
        <f>'1.03.'!M222</f>
        <v>116500</v>
      </c>
      <c r="L232" s="27">
        <v>66500</v>
      </c>
      <c r="M232" s="92">
        <f t="shared" ref="M232:M258" si="137">K232+L232</f>
        <v>183000</v>
      </c>
      <c r="N232" s="93">
        <f>I232-M232</f>
        <v>0</v>
      </c>
      <c r="O232" s="70">
        <f t="shared" ref="O232:O248" si="138">M232/I232*100</f>
        <v>100</v>
      </c>
      <c r="P232" s="71">
        <f t="shared" si="126"/>
        <v>0</v>
      </c>
      <c r="Q232" s="35">
        <f t="shared" si="127"/>
        <v>0</v>
      </c>
      <c r="R232" s="72">
        <v>1103793</v>
      </c>
      <c r="S232" s="72">
        <f t="shared" si="128"/>
        <v>503021</v>
      </c>
      <c r="T232" s="62">
        <f t="shared" si="136"/>
        <v>503021</v>
      </c>
    </row>
    <row r="233" spans="1:20">
      <c r="A233" s="100"/>
      <c r="B233" s="9"/>
      <c r="C233" s="9"/>
      <c r="D233" s="69"/>
      <c r="E233" s="69">
        <v>112</v>
      </c>
      <c r="F233" s="136" t="s">
        <v>87</v>
      </c>
      <c r="G233" s="26"/>
      <c r="H233" s="26"/>
      <c r="I233" s="26"/>
      <c r="J233" s="105">
        <f t="shared" ref="J233:J239" si="139">M233</f>
        <v>0</v>
      </c>
      <c r="K233" s="35">
        <f>'1.03.'!M223</f>
        <v>0</v>
      </c>
      <c r="L233" s="27"/>
      <c r="M233" s="92">
        <f t="shared" si="137"/>
        <v>0</v>
      </c>
      <c r="N233" s="93">
        <f t="shared" ref="N233:N248" si="140">I233-M233</f>
        <v>0</v>
      </c>
      <c r="O233" s="70" t="e">
        <f t="shared" si="138"/>
        <v>#DIV/0!</v>
      </c>
      <c r="P233" s="71">
        <f t="shared" si="126"/>
        <v>0</v>
      </c>
      <c r="Q233" s="35">
        <f t="shared" si="127"/>
        <v>0</v>
      </c>
      <c r="R233" s="72">
        <v>1103794</v>
      </c>
      <c r="S233" s="72">
        <f t="shared" si="128"/>
        <v>0</v>
      </c>
    </row>
    <row r="234" spans="1:20">
      <c r="A234" s="100"/>
      <c r="B234" s="9"/>
      <c r="C234" s="9"/>
      <c r="D234" s="69"/>
      <c r="E234" s="76">
        <v>113</v>
      </c>
      <c r="F234" s="136" t="s">
        <v>88</v>
      </c>
      <c r="G234" s="26">
        <v>32776</v>
      </c>
      <c r="H234" s="26">
        <v>2291.6</v>
      </c>
      <c r="I234" s="26">
        <v>2291.6</v>
      </c>
      <c r="J234" s="105">
        <f t="shared" si="139"/>
        <v>2291.6</v>
      </c>
      <c r="K234" s="35">
        <f>'1.03.'!M224</f>
        <v>1536</v>
      </c>
      <c r="L234" s="27">
        <v>755.6</v>
      </c>
      <c r="M234" s="92">
        <f t="shared" si="137"/>
        <v>2291.6</v>
      </c>
      <c r="N234" s="93">
        <f t="shared" si="140"/>
        <v>0</v>
      </c>
      <c r="O234" s="70">
        <f t="shared" si="138"/>
        <v>100</v>
      </c>
      <c r="P234" s="71">
        <f t="shared" si="126"/>
        <v>0</v>
      </c>
      <c r="Q234" s="35">
        <f t="shared" si="127"/>
        <v>0</v>
      </c>
      <c r="R234" s="72">
        <v>1103795</v>
      </c>
      <c r="S234" s="72">
        <f t="shared" si="128"/>
        <v>30484.400000000001</v>
      </c>
      <c r="T234" s="62">
        <f t="shared" si="136"/>
        <v>30484.400000000001</v>
      </c>
    </row>
    <row r="235" spans="1:20">
      <c r="A235" s="100"/>
      <c r="B235" s="9"/>
      <c r="C235" s="9"/>
      <c r="D235" s="69"/>
      <c r="E235" s="69">
        <v>116</v>
      </c>
      <c r="F235" s="136" t="s">
        <v>89</v>
      </c>
      <c r="G235" s="26">
        <v>24011</v>
      </c>
      <c r="H235" s="26">
        <v>4738</v>
      </c>
      <c r="I235" s="26">
        <v>4738</v>
      </c>
      <c r="J235" s="105">
        <f t="shared" si="139"/>
        <v>4738</v>
      </c>
      <c r="K235" s="35">
        <f>'1.03.'!M225</f>
        <v>2410</v>
      </c>
      <c r="L235" s="27">
        <v>2328</v>
      </c>
      <c r="M235" s="92">
        <f>K235+L235</f>
        <v>4738</v>
      </c>
      <c r="N235" s="93">
        <f t="shared" si="140"/>
        <v>0</v>
      </c>
      <c r="O235" s="70">
        <f>M235/I235*100</f>
        <v>100</v>
      </c>
      <c r="P235" s="71">
        <f t="shared" si="126"/>
        <v>0</v>
      </c>
      <c r="Q235" s="35">
        <f t="shared" si="127"/>
        <v>0</v>
      </c>
      <c r="R235" s="72">
        <v>1103796</v>
      </c>
      <c r="S235" s="72">
        <f t="shared" si="128"/>
        <v>19273</v>
      </c>
    </row>
    <row r="236" spans="1:20">
      <c r="A236" s="100"/>
      <c r="B236" s="9"/>
      <c r="C236" s="9"/>
      <c r="D236" s="69"/>
      <c r="E236" s="69">
        <v>121</v>
      </c>
      <c r="F236" s="136" t="s">
        <v>90</v>
      </c>
      <c r="G236" s="26">
        <v>35536</v>
      </c>
      <c r="H236" s="26">
        <v>7106</v>
      </c>
      <c r="I236" s="26">
        <v>7106</v>
      </c>
      <c r="J236" s="105">
        <f t="shared" si="139"/>
        <v>7106</v>
      </c>
      <c r="K236" s="35">
        <f>'1.03.'!M226</f>
        <v>3553</v>
      </c>
      <c r="L236" s="27">
        <v>3553</v>
      </c>
      <c r="M236" s="92">
        <f>K236+L236</f>
        <v>7106</v>
      </c>
      <c r="N236" s="93">
        <f t="shared" si="140"/>
        <v>0</v>
      </c>
      <c r="O236" s="70">
        <f>M236/I236*100</f>
        <v>100</v>
      </c>
      <c r="P236" s="71">
        <f t="shared" si="126"/>
        <v>0</v>
      </c>
      <c r="Q236" s="35">
        <f t="shared" si="127"/>
        <v>0</v>
      </c>
      <c r="R236" s="72">
        <v>1103797</v>
      </c>
      <c r="S236" s="72">
        <f t="shared" si="128"/>
        <v>28430</v>
      </c>
      <c r="T236" s="62">
        <f t="shared" si="136"/>
        <v>28430</v>
      </c>
    </row>
    <row r="237" spans="1:20" ht="25.5">
      <c r="A237" s="100"/>
      <c r="B237" s="9"/>
      <c r="C237" s="9"/>
      <c r="D237" s="69"/>
      <c r="E237" s="69">
        <v>122</v>
      </c>
      <c r="F237" s="136" t="s">
        <v>91</v>
      </c>
      <c r="G237" s="26">
        <v>30871</v>
      </c>
      <c r="H237" s="26">
        <v>7744</v>
      </c>
      <c r="I237" s="26">
        <v>7744</v>
      </c>
      <c r="J237" s="105">
        <f t="shared" si="139"/>
        <v>7744</v>
      </c>
      <c r="K237" s="35">
        <f>'1.03.'!M227</f>
        <v>4657</v>
      </c>
      <c r="L237" s="27">
        <v>3087</v>
      </c>
      <c r="M237" s="92">
        <f t="shared" si="137"/>
        <v>7744</v>
      </c>
      <c r="N237" s="93">
        <f t="shared" si="140"/>
        <v>0</v>
      </c>
      <c r="O237" s="70">
        <f t="shared" si="138"/>
        <v>100</v>
      </c>
      <c r="P237" s="71">
        <f t="shared" si="126"/>
        <v>0</v>
      </c>
      <c r="Q237" s="35">
        <f t="shared" si="127"/>
        <v>0</v>
      </c>
      <c r="R237" s="72">
        <v>1103798</v>
      </c>
      <c r="S237" s="72">
        <f t="shared" si="128"/>
        <v>23127</v>
      </c>
      <c r="T237" s="62">
        <f t="shared" si="136"/>
        <v>23127</v>
      </c>
    </row>
    <row r="238" spans="1:20">
      <c r="A238" s="100"/>
      <c r="B238" s="9"/>
      <c r="C238" s="9"/>
      <c r="D238" s="69"/>
      <c r="E238" s="69">
        <v>123</v>
      </c>
      <c r="F238" s="136" t="s">
        <v>92</v>
      </c>
      <c r="G238" s="26">
        <v>342</v>
      </c>
      <c r="H238" s="26"/>
      <c r="I238" s="26"/>
      <c r="J238" s="105">
        <f t="shared" si="139"/>
        <v>0</v>
      </c>
      <c r="K238" s="35">
        <f>'1.03.'!M228</f>
        <v>0</v>
      </c>
      <c r="L238" s="27"/>
      <c r="M238" s="92">
        <f t="shared" si="137"/>
        <v>0</v>
      </c>
      <c r="N238" s="93">
        <f t="shared" si="140"/>
        <v>0</v>
      </c>
      <c r="O238" s="70" t="e">
        <f t="shared" si="138"/>
        <v>#DIV/0!</v>
      </c>
      <c r="P238" s="71">
        <f t="shared" si="126"/>
        <v>0</v>
      </c>
      <c r="Q238" s="35">
        <f t="shared" si="127"/>
        <v>0</v>
      </c>
      <c r="R238" s="72">
        <v>1103799</v>
      </c>
      <c r="S238" s="72">
        <f t="shared" si="128"/>
        <v>342</v>
      </c>
    </row>
    <row r="239" spans="1:20">
      <c r="A239" s="100"/>
      <c r="B239" s="9"/>
      <c r="C239" s="9"/>
      <c r="D239" s="69"/>
      <c r="E239" s="69">
        <v>124</v>
      </c>
      <c r="F239" s="136" t="s">
        <v>93</v>
      </c>
      <c r="G239" s="26">
        <v>20581</v>
      </c>
      <c r="H239" s="26">
        <v>3990</v>
      </c>
      <c r="I239" s="26">
        <v>3990</v>
      </c>
      <c r="J239" s="105">
        <f t="shared" si="139"/>
        <v>3990</v>
      </c>
      <c r="K239" s="35">
        <f>'1.03.'!M229</f>
        <v>1995</v>
      </c>
      <c r="L239" s="27">
        <v>1995</v>
      </c>
      <c r="M239" s="92">
        <f t="shared" si="137"/>
        <v>3990</v>
      </c>
      <c r="N239" s="93">
        <f t="shared" si="140"/>
        <v>0</v>
      </c>
      <c r="O239" s="70">
        <f t="shared" si="138"/>
        <v>100</v>
      </c>
      <c r="P239" s="71">
        <f t="shared" si="126"/>
        <v>0</v>
      </c>
      <c r="Q239" s="35">
        <f t="shared" si="127"/>
        <v>0</v>
      </c>
      <c r="R239" s="72">
        <v>1103800</v>
      </c>
      <c r="S239" s="72">
        <f t="shared" si="128"/>
        <v>16591</v>
      </c>
      <c r="T239" s="62">
        <f t="shared" si="136"/>
        <v>16591</v>
      </c>
    </row>
    <row r="240" spans="1:20">
      <c r="A240" s="100"/>
      <c r="B240" s="9"/>
      <c r="C240" s="9"/>
      <c r="D240" s="69"/>
      <c r="E240" s="69">
        <v>144</v>
      </c>
      <c r="F240" s="136" t="s">
        <v>97</v>
      </c>
      <c r="G240" s="26">
        <v>9873</v>
      </c>
      <c r="H240" s="26">
        <v>9873</v>
      </c>
      <c r="I240" s="26">
        <v>7888.1</v>
      </c>
      <c r="J240" s="105">
        <v>8921.0878400000001</v>
      </c>
      <c r="K240" s="35">
        <f>'1.03.'!M230</f>
        <v>820</v>
      </c>
      <c r="L240" s="27">
        <v>7068.0278399999997</v>
      </c>
      <c r="M240" s="92">
        <f t="shared" si="137"/>
        <v>7888.0278399999997</v>
      </c>
      <c r="N240" s="93">
        <f t="shared" si="140"/>
        <v>7.2160000000621949E-2</v>
      </c>
      <c r="O240" s="70">
        <f t="shared" si="138"/>
        <v>99.999085204295071</v>
      </c>
      <c r="P240" s="71">
        <f t="shared" si="126"/>
        <v>1033.0600000000004</v>
      </c>
      <c r="Q240" s="35">
        <f t="shared" si="127"/>
        <v>951.91215999999986</v>
      </c>
      <c r="R240" s="72">
        <v>1103801</v>
      </c>
      <c r="S240" s="72">
        <f t="shared" si="128"/>
        <v>1984.9721600000003</v>
      </c>
      <c r="T240" s="62">
        <f t="shared" si="136"/>
        <v>951.91215999999986</v>
      </c>
    </row>
    <row r="241" spans="1:20">
      <c r="A241" s="100"/>
      <c r="B241" s="9"/>
      <c r="C241" s="9"/>
      <c r="D241" s="69"/>
      <c r="E241" s="69">
        <v>149</v>
      </c>
      <c r="F241" s="136" t="s">
        <v>98</v>
      </c>
      <c r="G241" s="26">
        <v>21813</v>
      </c>
      <c r="H241" s="26">
        <v>334</v>
      </c>
      <c r="I241" s="26">
        <v>27</v>
      </c>
      <c r="J241" s="105">
        <f t="shared" ref="J241:J248" si="141">M241</f>
        <v>26.997</v>
      </c>
      <c r="K241" s="35">
        <f>'1.03.'!M231</f>
        <v>0</v>
      </c>
      <c r="L241" s="27">
        <v>26.997</v>
      </c>
      <c r="M241" s="92">
        <f t="shared" si="137"/>
        <v>26.997</v>
      </c>
      <c r="N241" s="93">
        <f t="shared" si="140"/>
        <v>3.0000000000001137E-3</v>
      </c>
      <c r="O241" s="70">
        <f t="shared" si="138"/>
        <v>99.988888888888894</v>
      </c>
      <c r="P241" s="71">
        <f t="shared" si="126"/>
        <v>0</v>
      </c>
      <c r="Q241" s="35">
        <f t="shared" si="127"/>
        <v>307.00299999999999</v>
      </c>
      <c r="R241" s="72">
        <v>1103802</v>
      </c>
      <c r="S241" s="72">
        <f t="shared" si="128"/>
        <v>21786.003000000001</v>
      </c>
      <c r="T241" s="62">
        <f t="shared" si="136"/>
        <v>21786.003000000001</v>
      </c>
    </row>
    <row r="242" spans="1:20">
      <c r="A242" s="100"/>
      <c r="B242" s="9"/>
      <c r="C242" s="9"/>
      <c r="D242" s="69"/>
      <c r="E242" s="69">
        <v>151</v>
      </c>
      <c r="F242" s="136" t="s">
        <v>99</v>
      </c>
      <c r="G242" s="26">
        <v>10168</v>
      </c>
      <c r="H242" s="26">
        <v>4191</v>
      </c>
      <c r="I242" s="26">
        <v>4191</v>
      </c>
      <c r="J242" s="105">
        <f>M242</f>
        <v>4190.9584800000002</v>
      </c>
      <c r="K242" s="35">
        <f>'1.03.'!M232</f>
        <v>2536.48722</v>
      </c>
      <c r="L242" s="27">
        <v>1654.47126</v>
      </c>
      <c r="M242" s="92">
        <f t="shared" si="137"/>
        <v>4190.9584800000002</v>
      </c>
      <c r="N242" s="93">
        <f t="shared" si="140"/>
        <v>4.1519999999763968E-2</v>
      </c>
      <c r="O242" s="70">
        <f t="shared" si="138"/>
        <v>99.99900930565498</v>
      </c>
      <c r="P242" s="71">
        <f t="shared" si="126"/>
        <v>0</v>
      </c>
      <c r="Q242" s="35">
        <f t="shared" si="127"/>
        <v>4.1519999999763968E-2</v>
      </c>
      <c r="R242" s="72">
        <v>1103803</v>
      </c>
      <c r="S242" s="72">
        <f t="shared" si="128"/>
        <v>5977.0415199999998</v>
      </c>
      <c r="T242" s="62">
        <f t="shared" si="136"/>
        <v>5977.0415199999998</v>
      </c>
    </row>
    <row r="243" spans="1:20">
      <c r="A243" s="100"/>
      <c r="B243" s="9"/>
      <c r="C243" s="9"/>
      <c r="D243" s="69"/>
      <c r="E243" s="69">
        <v>152</v>
      </c>
      <c r="F243" s="136" t="s">
        <v>100</v>
      </c>
      <c r="G243" s="26">
        <f>34000-419.4</f>
        <v>33580.6</v>
      </c>
      <c r="H243" s="26">
        <v>31008.9</v>
      </c>
      <c r="I243" s="26">
        <v>5725</v>
      </c>
      <c r="J243" s="105">
        <v>31008.889520000001</v>
      </c>
      <c r="K243" s="35">
        <f>'1.03.'!M233</f>
        <v>438.24087000000003</v>
      </c>
      <c r="L243" s="27">
        <v>5280.3530300000002</v>
      </c>
      <c r="M243" s="92">
        <f t="shared" si="137"/>
        <v>5718.5938999999998</v>
      </c>
      <c r="N243" s="93">
        <f t="shared" si="140"/>
        <v>6.4061000000001513</v>
      </c>
      <c r="O243" s="70">
        <f t="shared" si="138"/>
        <v>99.888103056768557</v>
      </c>
      <c r="P243" s="71">
        <f t="shared" si="126"/>
        <v>25290.295620000001</v>
      </c>
      <c r="Q243" s="35">
        <f t="shared" si="127"/>
        <v>1.0480000000825385E-2</v>
      </c>
      <c r="R243" s="72">
        <v>1103804</v>
      </c>
      <c r="S243" s="72">
        <f t="shared" si="128"/>
        <v>27862.006099999999</v>
      </c>
      <c r="T243" s="62">
        <f t="shared" si="136"/>
        <v>2571.7104799999979</v>
      </c>
    </row>
    <row r="244" spans="1:20" ht="25.5">
      <c r="A244" s="100"/>
      <c r="B244" s="9"/>
      <c r="C244" s="9"/>
      <c r="D244" s="69"/>
      <c r="E244" s="69">
        <v>158</v>
      </c>
      <c r="F244" s="136" t="s">
        <v>101</v>
      </c>
      <c r="G244" s="26">
        <v>3657</v>
      </c>
      <c r="H244" s="26">
        <v>3657</v>
      </c>
      <c r="I244" s="26">
        <v>610</v>
      </c>
      <c r="J244" s="105">
        <v>3657</v>
      </c>
      <c r="K244" s="35">
        <f>'1.03.'!M234</f>
        <v>304.75</v>
      </c>
      <c r="L244" s="27">
        <v>304.75</v>
      </c>
      <c r="M244" s="92">
        <f t="shared" si="137"/>
        <v>609.5</v>
      </c>
      <c r="N244" s="93">
        <f t="shared" si="140"/>
        <v>0.5</v>
      </c>
      <c r="O244" s="70">
        <f t="shared" si="138"/>
        <v>99.918032786885249</v>
      </c>
      <c r="P244" s="71">
        <f t="shared" si="126"/>
        <v>3047.5</v>
      </c>
      <c r="Q244" s="35">
        <f t="shared" si="127"/>
        <v>0</v>
      </c>
      <c r="R244" s="72">
        <v>1103805</v>
      </c>
      <c r="S244" s="72">
        <f t="shared" si="128"/>
        <v>3047.5</v>
      </c>
      <c r="T244" s="62">
        <f t="shared" si="136"/>
        <v>0</v>
      </c>
    </row>
    <row r="245" spans="1:20">
      <c r="A245" s="100"/>
      <c r="B245" s="9"/>
      <c r="C245" s="9"/>
      <c r="D245" s="69"/>
      <c r="E245" s="69">
        <v>159</v>
      </c>
      <c r="F245" s="136" t="s">
        <v>84</v>
      </c>
      <c r="G245" s="26">
        <f>28010+419.4</f>
        <v>28429.4</v>
      </c>
      <c r="H245" s="26">
        <v>14685.4</v>
      </c>
      <c r="I245" s="26">
        <v>2600</v>
      </c>
      <c r="J245" s="105">
        <v>14031.40396</v>
      </c>
      <c r="K245" s="35">
        <f>'1.03.'!M235</f>
        <v>1300</v>
      </c>
      <c r="L245" s="27">
        <v>1223.02396</v>
      </c>
      <c r="M245" s="92">
        <f t="shared" si="137"/>
        <v>2523.02396</v>
      </c>
      <c r="N245" s="93">
        <f t="shared" si="140"/>
        <v>76.976040000000012</v>
      </c>
      <c r="O245" s="70">
        <f t="shared" si="138"/>
        <v>97.039383076923087</v>
      </c>
      <c r="P245" s="71">
        <f t="shared" si="126"/>
        <v>11508.38</v>
      </c>
      <c r="Q245" s="35">
        <f t="shared" si="127"/>
        <v>653.99603999999999</v>
      </c>
      <c r="R245" s="72">
        <v>1103806</v>
      </c>
      <c r="S245" s="72">
        <f t="shared" si="128"/>
        <v>25906.376040000003</v>
      </c>
      <c r="T245" s="62">
        <f t="shared" si="136"/>
        <v>14397.996040000002</v>
      </c>
    </row>
    <row r="246" spans="1:20">
      <c r="A246" s="100"/>
      <c r="B246" s="9"/>
      <c r="C246" s="9"/>
      <c r="D246" s="69"/>
      <c r="E246" s="69">
        <v>161</v>
      </c>
      <c r="F246" s="136" t="s">
        <v>102</v>
      </c>
      <c r="G246" s="26">
        <v>9868</v>
      </c>
      <c r="H246" s="26">
        <v>1350</v>
      </c>
      <c r="I246" s="26">
        <v>1350</v>
      </c>
      <c r="J246" s="105">
        <f t="shared" si="141"/>
        <v>1350</v>
      </c>
      <c r="K246" s="35">
        <f>'1.03.'!M236</f>
        <v>650</v>
      </c>
      <c r="L246" s="27">
        <v>700</v>
      </c>
      <c r="M246" s="92">
        <f t="shared" si="137"/>
        <v>1350</v>
      </c>
      <c r="N246" s="93">
        <f t="shared" si="140"/>
        <v>0</v>
      </c>
      <c r="O246" s="70">
        <f t="shared" si="138"/>
        <v>100</v>
      </c>
      <c r="P246" s="71">
        <f t="shared" si="126"/>
        <v>0</v>
      </c>
      <c r="Q246" s="35">
        <f t="shared" si="127"/>
        <v>0</v>
      </c>
      <c r="R246" s="72">
        <v>1103807</v>
      </c>
      <c r="S246" s="72">
        <f t="shared" si="128"/>
        <v>8518</v>
      </c>
      <c r="T246" s="62">
        <f t="shared" si="136"/>
        <v>8518</v>
      </c>
    </row>
    <row r="247" spans="1:20">
      <c r="A247" s="100"/>
      <c r="B247" s="9"/>
      <c r="C247" s="9"/>
      <c r="D247" s="69"/>
      <c r="E247" s="69">
        <v>168</v>
      </c>
      <c r="F247" s="136" t="s">
        <v>167</v>
      </c>
      <c r="G247" s="26">
        <v>102</v>
      </c>
      <c r="H247" s="26"/>
      <c r="I247" s="26"/>
      <c r="J247" s="105"/>
      <c r="K247" s="35"/>
      <c r="L247" s="27"/>
      <c r="M247" s="92"/>
      <c r="N247" s="93">
        <f t="shared" si="140"/>
        <v>0</v>
      </c>
      <c r="O247" s="70"/>
      <c r="P247" s="71"/>
      <c r="Q247" s="35"/>
      <c r="R247" s="72"/>
      <c r="S247" s="72"/>
    </row>
    <row r="248" spans="1:20">
      <c r="A248" s="100"/>
      <c r="B248" s="9"/>
      <c r="C248" s="9"/>
      <c r="D248" s="69"/>
      <c r="E248" s="69">
        <v>169</v>
      </c>
      <c r="F248" s="136" t="s">
        <v>103</v>
      </c>
      <c r="G248" s="26">
        <f>172-102</f>
        <v>70</v>
      </c>
      <c r="H248" s="26"/>
      <c r="I248" s="26"/>
      <c r="J248" s="105">
        <f t="shared" si="141"/>
        <v>0</v>
      </c>
      <c r="K248" s="35">
        <f>'1.03.'!M237</f>
        <v>0</v>
      </c>
      <c r="L248" s="27"/>
      <c r="M248" s="92">
        <f>K248+L248</f>
        <v>0</v>
      </c>
      <c r="N248" s="93">
        <f t="shared" si="140"/>
        <v>0</v>
      </c>
      <c r="O248" s="70" t="e">
        <f t="shared" si="138"/>
        <v>#DIV/0!</v>
      </c>
      <c r="P248" s="71">
        <f t="shared" si="126"/>
        <v>0</v>
      </c>
      <c r="Q248" s="35">
        <f t="shared" si="127"/>
        <v>0</v>
      </c>
      <c r="R248" s="72">
        <v>1103808</v>
      </c>
      <c r="S248" s="72">
        <f t="shared" si="128"/>
        <v>70</v>
      </c>
      <c r="T248" s="62">
        <f t="shared" si="136"/>
        <v>70</v>
      </c>
    </row>
    <row r="249" spans="1:20" ht="25.5" hidden="1">
      <c r="A249" s="100"/>
      <c r="B249" s="15"/>
      <c r="C249" s="57" t="s">
        <v>43</v>
      </c>
      <c r="D249" s="16"/>
      <c r="E249" s="20"/>
      <c r="F249" s="3" t="s">
        <v>44</v>
      </c>
      <c r="G249" s="59">
        <f t="shared" ref="G249:N249" si="142">G250</f>
        <v>0</v>
      </c>
      <c r="H249" s="59">
        <f t="shared" si="142"/>
        <v>0</v>
      </c>
      <c r="I249" s="59">
        <f t="shared" si="142"/>
        <v>0</v>
      </c>
      <c r="J249" s="29">
        <f t="shared" si="142"/>
        <v>0</v>
      </c>
      <c r="K249" s="35">
        <f>'1.02.'!M238</f>
        <v>0</v>
      </c>
      <c r="L249" s="29">
        <f t="shared" si="142"/>
        <v>0</v>
      </c>
      <c r="M249" s="29">
        <f t="shared" si="142"/>
        <v>0</v>
      </c>
      <c r="N249" s="29">
        <f t="shared" si="142"/>
        <v>0</v>
      </c>
      <c r="O249" s="70"/>
      <c r="P249" s="71">
        <f t="shared" si="126"/>
        <v>0</v>
      </c>
      <c r="Q249" s="35">
        <f t="shared" si="127"/>
        <v>0</v>
      </c>
      <c r="R249" s="72">
        <v>1103809</v>
      </c>
      <c r="S249" s="72">
        <f t="shared" si="128"/>
        <v>0</v>
      </c>
    </row>
    <row r="250" spans="1:20" hidden="1">
      <c r="A250" s="9"/>
      <c r="B250" s="12"/>
      <c r="C250" s="12"/>
      <c r="D250" s="11" t="s">
        <v>7</v>
      </c>
      <c r="E250" s="97"/>
      <c r="F250" s="4" t="s">
        <v>22</v>
      </c>
      <c r="G250" s="98">
        <f>G251+G252</f>
        <v>0</v>
      </c>
      <c r="H250" s="98">
        <f t="shared" ref="H250:N250" si="143">H251+H252</f>
        <v>0</v>
      </c>
      <c r="I250" s="98">
        <f t="shared" si="143"/>
        <v>0</v>
      </c>
      <c r="J250" s="98">
        <f t="shared" si="143"/>
        <v>0</v>
      </c>
      <c r="K250" s="35">
        <f>'1.02.'!M239</f>
        <v>0</v>
      </c>
      <c r="L250" s="32">
        <f t="shared" si="143"/>
        <v>0</v>
      </c>
      <c r="M250" s="32">
        <f t="shared" si="143"/>
        <v>0</v>
      </c>
      <c r="N250" s="32">
        <f t="shared" si="143"/>
        <v>0</v>
      </c>
      <c r="O250" s="68" t="e">
        <f>M250/I250*100</f>
        <v>#DIV/0!</v>
      </c>
      <c r="P250" s="71">
        <f t="shared" si="126"/>
        <v>0</v>
      </c>
      <c r="Q250" s="35">
        <f t="shared" si="127"/>
        <v>0</v>
      </c>
      <c r="R250" s="72">
        <v>1103810</v>
      </c>
      <c r="S250" s="72">
        <f t="shared" si="128"/>
        <v>0</v>
      </c>
      <c r="T250" s="62">
        <f>G250-J250</f>
        <v>0</v>
      </c>
    </row>
    <row r="251" spans="1:20" ht="25.5" hidden="1">
      <c r="A251" s="100"/>
      <c r="B251" s="15"/>
      <c r="C251" s="15"/>
      <c r="D251" s="16"/>
      <c r="E251" s="20">
        <v>414</v>
      </c>
      <c r="F251" s="86" t="s">
        <v>64</v>
      </c>
      <c r="G251" s="37"/>
      <c r="H251" s="37"/>
      <c r="I251" s="37"/>
      <c r="J251" s="75">
        <f>M251</f>
        <v>0</v>
      </c>
      <c r="K251" s="35">
        <f>'1.02.'!M240</f>
        <v>0</v>
      </c>
      <c r="L251" s="35"/>
      <c r="M251" s="93">
        <f>K251+L251</f>
        <v>0</v>
      </c>
      <c r="N251" s="93">
        <f t="shared" ref="N251:N252" si="144">I251-M251</f>
        <v>0</v>
      </c>
      <c r="O251" s="70" t="e">
        <f t="shared" ref="O251:O252" si="145">M251/I251*100</f>
        <v>#DIV/0!</v>
      </c>
      <c r="P251" s="71">
        <f t="shared" si="126"/>
        <v>0</v>
      </c>
      <c r="Q251" s="35">
        <f t="shared" si="127"/>
        <v>0</v>
      </c>
      <c r="R251" s="72">
        <v>1103811</v>
      </c>
      <c r="S251" s="72">
        <f t="shared" si="128"/>
        <v>0</v>
      </c>
    </row>
    <row r="252" spans="1:20" hidden="1">
      <c r="A252" s="100"/>
      <c r="B252" s="15"/>
      <c r="C252" s="15"/>
      <c r="D252" s="16"/>
      <c r="E252" s="20">
        <v>419</v>
      </c>
      <c r="F252" s="3" t="s">
        <v>57</v>
      </c>
      <c r="G252" s="37"/>
      <c r="H252" s="37"/>
      <c r="I252" s="37"/>
      <c r="J252" s="75">
        <f>M252</f>
        <v>0</v>
      </c>
      <c r="K252" s="35">
        <f>'1.02.'!M241</f>
        <v>0</v>
      </c>
      <c r="L252" s="35"/>
      <c r="M252" s="92">
        <f>K252+L252</f>
        <v>0</v>
      </c>
      <c r="N252" s="93">
        <f t="shared" si="144"/>
        <v>0</v>
      </c>
      <c r="O252" s="70" t="e">
        <f t="shared" si="145"/>
        <v>#DIV/0!</v>
      </c>
      <c r="P252" s="71">
        <f t="shared" si="126"/>
        <v>0</v>
      </c>
      <c r="Q252" s="35">
        <f t="shared" si="127"/>
        <v>0</v>
      </c>
      <c r="R252" s="72">
        <v>1103812</v>
      </c>
      <c r="S252" s="72">
        <f t="shared" si="128"/>
        <v>0</v>
      </c>
    </row>
    <row r="253" spans="1:20" s="73" customFormat="1">
      <c r="A253" s="103"/>
      <c r="B253" s="8"/>
      <c r="C253" s="17" t="s">
        <v>30</v>
      </c>
      <c r="D253" s="21"/>
      <c r="E253" s="21"/>
      <c r="F253" s="139" t="s">
        <v>129</v>
      </c>
      <c r="G253" s="23">
        <f>G254+G256+G259</f>
        <v>6982605</v>
      </c>
      <c r="H253" s="23">
        <f>H254+H256+H259</f>
        <v>551484</v>
      </c>
      <c r="I253" s="23">
        <f t="shared" ref="I253:M253" si="146">I254+I256+I259</f>
        <v>551484</v>
      </c>
      <c r="J253" s="23">
        <f t="shared" si="146"/>
        <v>551483.47903000005</v>
      </c>
      <c r="K253" s="24">
        <f t="shared" si="146"/>
        <v>259593.73903</v>
      </c>
      <c r="L253" s="24">
        <f t="shared" si="146"/>
        <v>291889.74</v>
      </c>
      <c r="M253" s="24">
        <f t="shared" si="146"/>
        <v>551483.47903000005</v>
      </c>
      <c r="N253" s="24">
        <f t="shared" ref="N253" si="147">N254+N256+N259</f>
        <v>0.52097000002277127</v>
      </c>
      <c r="O253" s="68">
        <f>M253/I253*100</f>
        <v>99.999905533070773</v>
      </c>
      <c r="P253" s="71">
        <f t="shared" si="126"/>
        <v>0</v>
      </c>
      <c r="Q253" s="35">
        <f t="shared" si="127"/>
        <v>0.52096999995410442</v>
      </c>
      <c r="R253" s="72">
        <v>1103813</v>
      </c>
      <c r="S253" s="72">
        <f t="shared" si="128"/>
        <v>6431121.52097</v>
      </c>
      <c r="T253" s="62">
        <f t="shared" ref="T253:T279" si="148">G253-J253</f>
        <v>6431121.52097</v>
      </c>
    </row>
    <row r="254" spans="1:20">
      <c r="A254" s="100"/>
      <c r="B254" s="8"/>
      <c r="C254" s="8"/>
      <c r="D254" s="17" t="s">
        <v>31</v>
      </c>
      <c r="E254" s="10"/>
      <c r="F254" s="140" t="s">
        <v>130</v>
      </c>
      <c r="G254" s="59">
        <f>G255</f>
        <v>2961415</v>
      </c>
      <c r="H254" s="59">
        <f t="shared" ref="H254:N254" si="149">H255</f>
        <v>129829</v>
      </c>
      <c r="I254" s="59">
        <f t="shared" si="149"/>
        <v>129829</v>
      </c>
      <c r="J254" s="59">
        <f t="shared" si="149"/>
        <v>129829</v>
      </c>
      <c r="K254" s="29">
        <f t="shared" si="149"/>
        <v>45214</v>
      </c>
      <c r="L254" s="29">
        <f t="shared" si="149"/>
        <v>84615</v>
      </c>
      <c r="M254" s="29">
        <f t="shared" si="149"/>
        <v>129829</v>
      </c>
      <c r="N254" s="33">
        <f t="shared" si="149"/>
        <v>0</v>
      </c>
      <c r="O254" s="68">
        <f t="shared" ref="O254:O270" si="150">M254/I254*100</f>
        <v>100</v>
      </c>
      <c r="P254" s="71">
        <f t="shared" si="126"/>
        <v>0</v>
      </c>
      <c r="Q254" s="35">
        <f t="shared" si="127"/>
        <v>0</v>
      </c>
      <c r="R254" s="72">
        <v>1103814</v>
      </c>
      <c r="S254" s="72">
        <f t="shared" si="128"/>
        <v>2831586</v>
      </c>
      <c r="T254" s="62">
        <f t="shared" si="148"/>
        <v>2831586</v>
      </c>
    </row>
    <row r="255" spans="1:20">
      <c r="A255" s="100"/>
      <c r="B255" s="9"/>
      <c r="C255" s="9"/>
      <c r="D255" s="69"/>
      <c r="E255" s="69">
        <v>159</v>
      </c>
      <c r="F255" s="136" t="s">
        <v>84</v>
      </c>
      <c r="G255" s="26">
        <f>3730007-768592</f>
        <v>2961415</v>
      </c>
      <c r="H255" s="26">
        <v>129829</v>
      </c>
      <c r="I255" s="26">
        <v>129829</v>
      </c>
      <c r="J255" s="105">
        <f>M255</f>
        <v>129829</v>
      </c>
      <c r="K255" s="35">
        <f>'1.03.'!M244</f>
        <v>45214</v>
      </c>
      <c r="L255" s="27">
        <v>84615</v>
      </c>
      <c r="M255" s="92">
        <f t="shared" si="137"/>
        <v>129829</v>
      </c>
      <c r="N255" s="93">
        <f t="shared" ref="N255" si="151">I255-M255</f>
        <v>0</v>
      </c>
      <c r="O255" s="70">
        <f t="shared" si="150"/>
        <v>100</v>
      </c>
      <c r="P255" s="71">
        <f t="shared" si="126"/>
        <v>0</v>
      </c>
      <c r="Q255" s="35">
        <f t="shared" si="127"/>
        <v>0</v>
      </c>
      <c r="R255" s="72">
        <v>1103815</v>
      </c>
      <c r="S255" s="72">
        <f t="shared" si="128"/>
        <v>2831586</v>
      </c>
      <c r="T255" s="62">
        <f t="shared" si="148"/>
        <v>2831586</v>
      </c>
    </row>
    <row r="256" spans="1:20">
      <c r="A256" s="100"/>
      <c r="B256" s="8"/>
      <c r="C256" s="8"/>
      <c r="D256" s="17" t="s">
        <v>32</v>
      </c>
      <c r="E256" s="10"/>
      <c r="F256" s="140" t="s">
        <v>131</v>
      </c>
      <c r="G256" s="59">
        <f>G257+G258</f>
        <v>77035</v>
      </c>
      <c r="H256" s="59">
        <f t="shared" ref="H256:M256" si="152">H257+H258</f>
        <v>0</v>
      </c>
      <c r="I256" s="59">
        <f t="shared" si="152"/>
        <v>0</v>
      </c>
      <c r="J256" s="59">
        <f t="shared" si="152"/>
        <v>0</v>
      </c>
      <c r="K256" s="59">
        <f t="shared" si="152"/>
        <v>0</v>
      </c>
      <c r="L256" s="59">
        <f t="shared" si="152"/>
        <v>0</v>
      </c>
      <c r="M256" s="59">
        <f t="shared" si="152"/>
        <v>0</v>
      </c>
      <c r="N256" s="59">
        <f t="shared" ref="N256" si="153">N257+N258</f>
        <v>0</v>
      </c>
      <c r="O256" s="68" t="e">
        <f t="shared" ref="O256" si="154">O257</f>
        <v>#DIV/0!</v>
      </c>
      <c r="P256" s="71">
        <f t="shared" si="126"/>
        <v>0</v>
      </c>
      <c r="Q256" s="35">
        <f t="shared" si="127"/>
        <v>0</v>
      </c>
      <c r="R256" s="72">
        <v>1103816</v>
      </c>
      <c r="S256" s="72">
        <f t="shared" si="128"/>
        <v>77035</v>
      </c>
      <c r="T256" s="62">
        <f t="shared" si="148"/>
        <v>77035</v>
      </c>
    </row>
    <row r="257" spans="1:20">
      <c r="A257" s="100"/>
      <c r="B257" s="9"/>
      <c r="C257" s="9"/>
      <c r="D257" s="69"/>
      <c r="E257" s="69">
        <v>159</v>
      </c>
      <c r="F257" s="136" t="s">
        <v>84</v>
      </c>
      <c r="G257" s="26">
        <f>32846+12909</f>
        <v>45755</v>
      </c>
      <c r="H257" s="26"/>
      <c r="I257" s="26"/>
      <c r="J257" s="105">
        <f>M257</f>
        <v>0</v>
      </c>
      <c r="K257" s="35">
        <f>'1.02.'!M246</f>
        <v>0</v>
      </c>
      <c r="L257" s="27"/>
      <c r="M257" s="92">
        <f t="shared" si="137"/>
        <v>0</v>
      </c>
      <c r="N257" s="93">
        <f>I257-M257</f>
        <v>0</v>
      </c>
      <c r="O257" s="70" t="e">
        <f t="shared" si="150"/>
        <v>#DIV/0!</v>
      </c>
      <c r="P257" s="71">
        <f t="shared" si="126"/>
        <v>0</v>
      </c>
      <c r="Q257" s="35">
        <f t="shared" si="127"/>
        <v>0</v>
      </c>
      <c r="R257" s="72">
        <v>1103817</v>
      </c>
      <c r="S257" s="72">
        <f t="shared" si="128"/>
        <v>45755</v>
      </c>
      <c r="T257" s="62">
        <f t="shared" si="148"/>
        <v>45755</v>
      </c>
    </row>
    <row r="258" spans="1:20">
      <c r="A258" s="100"/>
      <c r="B258" s="9"/>
      <c r="C258" s="9"/>
      <c r="D258" s="69"/>
      <c r="E258" s="69">
        <v>322</v>
      </c>
      <c r="F258" s="133" t="s">
        <v>82</v>
      </c>
      <c r="G258" s="26">
        <v>31280</v>
      </c>
      <c r="H258" s="26"/>
      <c r="I258" s="26"/>
      <c r="J258" s="105">
        <f>M258</f>
        <v>0</v>
      </c>
      <c r="K258" s="35">
        <f>'1.02.'!M247</f>
        <v>0</v>
      </c>
      <c r="L258" s="27"/>
      <c r="M258" s="92">
        <f t="shared" si="137"/>
        <v>0</v>
      </c>
      <c r="N258" s="93">
        <f>I258-M258</f>
        <v>0</v>
      </c>
      <c r="O258" s="70" t="e">
        <f t="shared" si="150"/>
        <v>#DIV/0!</v>
      </c>
      <c r="P258" s="71">
        <f t="shared" si="126"/>
        <v>0</v>
      </c>
      <c r="Q258" s="35">
        <f t="shared" si="127"/>
        <v>0</v>
      </c>
      <c r="R258" s="72">
        <v>1103818</v>
      </c>
      <c r="S258" s="72">
        <f t="shared" si="128"/>
        <v>31280</v>
      </c>
    </row>
    <row r="259" spans="1:20" ht="25.5">
      <c r="A259" s="100"/>
      <c r="B259" s="8"/>
      <c r="C259" s="8"/>
      <c r="D259" s="17" t="s">
        <v>33</v>
      </c>
      <c r="E259" s="10"/>
      <c r="F259" s="140" t="s">
        <v>132</v>
      </c>
      <c r="G259" s="59">
        <f>G260+G268+G269+G270</f>
        <v>3944155</v>
      </c>
      <c r="H259" s="59">
        <f t="shared" ref="H259:N259" si="155">H260+H268+H269+H270</f>
        <v>421655</v>
      </c>
      <c r="I259" s="59">
        <f t="shared" si="155"/>
        <v>421655</v>
      </c>
      <c r="J259" s="29">
        <f t="shared" si="155"/>
        <v>421654.47902999999</v>
      </c>
      <c r="K259" s="59">
        <f>K260+K268+K269+K270</f>
        <v>214379.73903</v>
      </c>
      <c r="L259" s="29">
        <f t="shared" si="155"/>
        <v>207274.74</v>
      </c>
      <c r="M259" s="29">
        <f t="shared" si="155"/>
        <v>421654.47902999999</v>
      </c>
      <c r="N259" s="29">
        <f t="shared" si="155"/>
        <v>0.52097000002277127</v>
      </c>
      <c r="O259" s="68">
        <f>M259/I259*100</f>
        <v>99.99987644638388</v>
      </c>
      <c r="P259" s="71">
        <f t="shared" si="126"/>
        <v>0</v>
      </c>
      <c r="Q259" s="35">
        <f t="shared" si="127"/>
        <v>0.52097000001231208</v>
      </c>
      <c r="R259" s="72">
        <v>1103819</v>
      </c>
      <c r="S259" s="72">
        <f t="shared" si="128"/>
        <v>3522500.52097</v>
      </c>
      <c r="T259" s="62">
        <f t="shared" si="148"/>
        <v>3522500.52097</v>
      </c>
    </row>
    <row r="260" spans="1:20">
      <c r="A260" s="100"/>
      <c r="B260" s="9"/>
      <c r="C260" s="9"/>
      <c r="D260" s="69"/>
      <c r="E260" s="69">
        <v>159</v>
      </c>
      <c r="F260" s="141" t="s">
        <v>84</v>
      </c>
      <c r="G260" s="26">
        <f>SUM(G261:G267)</f>
        <v>3138252</v>
      </c>
      <c r="H260" s="26">
        <f>SUM(H261:H267)</f>
        <v>418155</v>
      </c>
      <c r="I260" s="26">
        <f t="shared" ref="I260:N260" si="156">SUM(I261:I267)</f>
        <v>418155</v>
      </c>
      <c r="J260" s="26">
        <f t="shared" si="156"/>
        <v>418154.99903000001</v>
      </c>
      <c r="K260" s="26">
        <f t="shared" si="156"/>
        <v>212629.99903000001</v>
      </c>
      <c r="L260" s="26">
        <f t="shared" si="156"/>
        <v>205525</v>
      </c>
      <c r="M260" s="26">
        <f t="shared" si="156"/>
        <v>418154.99903000001</v>
      </c>
      <c r="N260" s="27">
        <f t="shared" si="156"/>
        <v>9.700000227894634E-4</v>
      </c>
      <c r="O260" s="70">
        <f t="shared" si="150"/>
        <v>99.999999768028601</v>
      </c>
      <c r="P260" s="71">
        <f t="shared" si="126"/>
        <v>0</v>
      </c>
      <c r="Q260" s="35">
        <f t="shared" si="127"/>
        <v>9.6999999368563294E-4</v>
      </c>
      <c r="R260" s="72">
        <v>1103820</v>
      </c>
      <c r="S260" s="72">
        <f t="shared" si="128"/>
        <v>2720097.0009699999</v>
      </c>
      <c r="T260" s="62">
        <f t="shared" si="148"/>
        <v>2720097.0009699999</v>
      </c>
    </row>
    <row r="261" spans="1:20">
      <c r="A261" s="100"/>
      <c r="B261" s="9"/>
      <c r="C261" s="9"/>
      <c r="D261" s="69"/>
      <c r="E261" s="69"/>
      <c r="F261" s="55" t="s">
        <v>49</v>
      </c>
      <c r="G261" s="26">
        <v>1124154</v>
      </c>
      <c r="H261" s="61">
        <f>2050+93053-1993.6+82986.9</f>
        <v>176096.3</v>
      </c>
      <c r="I261" s="61">
        <f>H261</f>
        <v>176096.3</v>
      </c>
      <c r="J261" s="105">
        <f>M261</f>
        <v>176096.3</v>
      </c>
      <c r="K261" s="35">
        <f>'1.03.'!M250</f>
        <v>93109.400000000009</v>
      </c>
      <c r="L261" s="61">
        <v>82986.899999999994</v>
      </c>
      <c r="M261" s="92">
        <f>K261+L261</f>
        <v>176096.3</v>
      </c>
      <c r="N261" s="93">
        <f t="shared" ref="N261:N267" si="157">I261-M261</f>
        <v>0</v>
      </c>
      <c r="O261" s="70">
        <f t="shared" si="150"/>
        <v>100</v>
      </c>
      <c r="P261" s="71">
        <f t="shared" si="126"/>
        <v>0</v>
      </c>
      <c r="Q261" s="35">
        <f t="shared" si="127"/>
        <v>0</v>
      </c>
      <c r="R261" s="72">
        <v>1103821</v>
      </c>
      <c r="S261" s="72">
        <f t="shared" si="128"/>
        <v>948057.7</v>
      </c>
    </row>
    <row r="262" spans="1:20">
      <c r="A262" s="100"/>
      <c r="B262" s="9"/>
      <c r="C262" s="9"/>
      <c r="D262" s="69"/>
      <c r="E262" s="69"/>
      <c r="F262" s="55" t="s">
        <v>50</v>
      </c>
      <c r="G262" s="26">
        <v>130399</v>
      </c>
      <c r="H262" s="61">
        <f>26080-3722.9+19165.6</f>
        <v>41522.699999999997</v>
      </c>
      <c r="I262" s="61">
        <f t="shared" ref="I262:I267" si="158">H262</f>
        <v>41522.699999999997</v>
      </c>
      <c r="J262" s="105">
        <f t="shared" ref="J262:J268" si="159">M262</f>
        <v>41522.699999999997</v>
      </c>
      <c r="K262" s="35">
        <f>'1.03.'!M251</f>
        <v>22357.1</v>
      </c>
      <c r="L262" s="61">
        <v>19165.599999999999</v>
      </c>
      <c r="M262" s="92">
        <f t="shared" ref="M262:M267" si="160">K262+L262</f>
        <v>41522.699999999997</v>
      </c>
      <c r="N262" s="93">
        <f t="shared" si="157"/>
        <v>0</v>
      </c>
      <c r="O262" s="70">
        <f t="shared" si="150"/>
        <v>100</v>
      </c>
      <c r="P262" s="71">
        <f t="shared" si="126"/>
        <v>0</v>
      </c>
      <c r="Q262" s="35">
        <f t="shared" si="127"/>
        <v>0</v>
      </c>
      <c r="R262" s="72">
        <v>1103822</v>
      </c>
      <c r="S262" s="72">
        <f t="shared" si="128"/>
        <v>88876.3</v>
      </c>
    </row>
    <row r="263" spans="1:20">
      <c r="A263" s="100"/>
      <c r="B263" s="9"/>
      <c r="C263" s="9"/>
      <c r="D263" s="69"/>
      <c r="E263" s="69"/>
      <c r="F263" s="55" t="s">
        <v>51</v>
      </c>
      <c r="G263" s="26"/>
      <c r="H263" s="61"/>
      <c r="I263" s="61">
        <f t="shared" si="158"/>
        <v>0</v>
      </c>
      <c r="J263" s="105">
        <f t="shared" si="159"/>
        <v>0</v>
      </c>
      <c r="K263" s="35">
        <f>'1.03.'!M252</f>
        <v>0</v>
      </c>
      <c r="L263" s="61"/>
      <c r="M263" s="92">
        <f t="shared" si="160"/>
        <v>0</v>
      </c>
      <c r="N263" s="93">
        <f t="shared" si="157"/>
        <v>0</v>
      </c>
      <c r="O263" s="70" t="e">
        <f t="shared" si="150"/>
        <v>#DIV/0!</v>
      </c>
      <c r="P263" s="71">
        <f t="shared" si="126"/>
        <v>0</v>
      </c>
      <c r="Q263" s="35">
        <f t="shared" si="127"/>
        <v>0</v>
      </c>
      <c r="R263" s="72">
        <v>1103823</v>
      </c>
      <c r="S263" s="72">
        <f t="shared" si="128"/>
        <v>0</v>
      </c>
    </row>
    <row r="264" spans="1:20">
      <c r="A264" s="100"/>
      <c r="B264" s="9"/>
      <c r="C264" s="9"/>
      <c r="D264" s="69"/>
      <c r="E264" s="69"/>
      <c r="F264" s="55" t="s">
        <v>52</v>
      </c>
      <c r="G264" s="26"/>
      <c r="H264" s="61"/>
      <c r="I264" s="61">
        <f t="shared" si="158"/>
        <v>0</v>
      </c>
      <c r="J264" s="105">
        <f t="shared" si="159"/>
        <v>0</v>
      </c>
      <c r="K264" s="35">
        <f>'1.03.'!M253</f>
        <v>0</v>
      </c>
      <c r="L264" s="61"/>
      <c r="M264" s="92">
        <f t="shared" si="160"/>
        <v>0</v>
      </c>
      <c r="N264" s="93">
        <f t="shared" si="157"/>
        <v>0</v>
      </c>
      <c r="O264" s="70" t="e">
        <f t="shared" si="150"/>
        <v>#DIV/0!</v>
      </c>
      <c r="P264" s="71">
        <f t="shared" si="126"/>
        <v>0</v>
      </c>
      <c r="Q264" s="35">
        <f t="shared" si="127"/>
        <v>0</v>
      </c>
      <c r="R264" s="72">
        <v>1103824</v>
      </c>
      <c r="S264" s="72">
        <f t="shared" si="128"/>
        <v>0</v>
      </c>
    </row>
    <row r="265" spans="1:20">
      <c r="A265" s="100"/>
      <c r="B265" s="9"/>
      <c r="C265" s="9"/>
      <c r="D265" s="69"/>
      <c r="E265" s="69"/>
      <c r="F265" s="55" t="s">
        <v>53</v>
      </c>
      <c r="G265" s="26">
        <v>236664</v>
      </c>
      <c r="H265" s="61">
        <f>2906-1667.6+4700</f>
        <v>5938.4</v>
      </c>
      <c r="I265" s="61">
        <f t="shared" si="158"/>
        <v>5938.4</v>
      </c>
      <c r="J265" s="105">
        <f t="shared" si="159"/>
        <v>5938.4</v>
      </c>
      <c r="K265" s="35">
        <f>'1.03.'!M254</f>
        <v>1238.4000000000001</v>
      </c>
      <c r="L265" s="61">
        <v>4700</v>
      </c>
      <c r="M265" s="92">
        <f t="shared" si="160"/>
        <v>5938.4</v>
      </c>
      <c r="N265" s="93">
        <f t="shared" si="157"/>
        <v>0</v>
      </c>
      <c r="O265" s="70">
        <f t="shared" si="150"/>
        <v>100</v>
      </c>
      <c r="P265" s="71">
        <f t="shared" si="126"/>
        <v>0</v>
      </c>
      <c r="Q265" s="35">
        <f t="shared" si="127"/>
        <v>0</v>
      </c>
      <c r="R265" s="72">
        <v>1103825</v>
      </c>
      <c r="S265" s="72">
        <f t="shared" si="128"/>
        <v>230725.6</v>
      </c>
    </row>
    <row r="266" spans="1:20">
      <c r="A266" s="100"/>
      <c r="B266" s="9"/>
      <c r="C266" s="9"/>
      <c r="D266" s="69"/>
      <c r="E266" s="69"/>
      <c r="F266" s="55" t="s">
        <v>54</v>
      </c>
      <c r="G266" s="26">
        <v>27612</v>
      </c>
      <c r="H266" s="61">
        <f>2111-228.7+1923.4</f>
        <v>3805.7</v>
      </c>
      <c r="I266" s="61">
        <f t="shared" si="158"/>
        <v>3805.7</v>
      </c>
      <c r="J266" s="105">
        <f t="shared" si="159"/>
        <v>3805.7</v>
      </c>
      <c r="K266" s="35">
        <f>'1.03.'!M255</f>
        <v>1882.3</v>
      </c>
      <c r="L266" s="61">
        <v>1923.4</v>
      </c>
      <c r="M266" s="92">
        <f t="shared" si="160"/>
        <v>3805.7</v>
      </c>
      <c r="N266" s="93">
        <f t="shared" si="157"/>
        <v>0</v>
      </c>
      <c r="O266" s="70">
        <f t="shared" si="150"/>
        <v>100</v>
      </c>
      <c r="P266" s="71">
        <f t="shared" si="126"/>
        <v>0</v>
      </c>
      <c r="Q266" s="35">
        <f t="shared" si="127"/>
        <v>0</v>
      </c>
      <c r="R266" s="72">
        <v>1103826</v>
      </c>
      <c r="S266" s="72">
        <f t="shared" si="128"/>
        <v>23806.3</v>
      </c>
    </row>
    <row r="267" spans="1:20">
      <c r="A267" s="100"/>
      <c r="B267" s="9"/>
      <c r="C267" s="9"/>
      <c r="D267" s="69"/>
      <c r="E267" s="69"/>
      <c r="F267" s="55" t="s">
        <v>55</v>
      </c>
      <c r="G267" s="26">
        <f>1186640+432783</f>
        <v>1619423</v>
      </c>
      <c r="H267" s="61">
        <f>101338-7295.2+96749.1</f>
        <v>190791.90000000002</v>
      </c>
      <c r="I267" s="61">
        <f t="shared" si="158"/>
        <v>190791.90000000002</v>
      </c>
      <c r="J267" s="105">
        <f t="shared" si="159"/>
        <v>190791.89903</v>
      </c>
      <c r="K267" s="35">
        <f>'1.03.'!M256</f>
        <v>94042.799029999995</v>
      </c>
      <c r="L267" s="61">
        <v>96749.1</v>
      </c>
      <c r="M267" s="92">
        <f t="shared" si="160"/>
        <v>190791.89903</v>
      </c>
      <c r="N267" s="93">
        <f t="shared" si="157"/>
        <v>9.700000227894634E-4</v>
      </c>
      <c r="O267" s="70">
        <f t="shared" si="150"/>
        <v>99.999999491592661</v>
      </c>
      <c r="P267" s="71">
        <f t="shared" si="126"/>
        <v>0</v>
      </c>
      <c r="Q267" s="35">
        <f t="shared" si="127"/>
        <v>9.700000227894634E-4</v>
      </c>
      <c r="R267" s="72">
        <v>1103827</v>
      </c>
      <c r="S267" s="72">
        <f t="shared" si="128"/>
        <v>1428631.10097</v>
      </c>
    </row>
    <row r="268" spans="1:20">
      <c r="A268" s="100"/>
      <c r="B268" s="9"/>
      <c r="C268" s="9"/>
      <c r="D268" s="69"/>
      <c r="E268" s="69">
        <v>169</v>
      </c>
      <c r="F268" s="136" t="s">
        <v>103</v>
      </c>
      <c r="G268" s="26">
        <f>503430+67470</f>
        <v>570900</v>
      </c>
      <c r="H268" s="26"/>
      <c r="I268" s="26"/>
      <c r="J268" s="105">
        <f t="shared" si="159"/>
        <v>0</v>
      </c>
      <c r="K268" s="35">
        <f>'1.03.'!M257</f>
        <v>0</v>
      </c>
      <c r="L268" s="27"/>
      <c r="M268" s="92">
        <f>K268+L268</f>
        <v>0</v>
      </c>
      <c r="N268" s="93">
        <f>I268-M268</f>
        <v>0</v>
      </c>
      <c r="O268" s="70" t="e">
        <f t="shared" si="150"/>
        <v>#DIV/0!</v>
      </c>
      <c r="P268" s="71">
        <f t="shared" si="126"/>
        <v>0</v>
      </c>
      <c r="Q268" s="35">
        <f t="shared" si="127"/>
        <v>0</v>
      </c>
      <c r="R268" s="72">
        <v>1103828</v>
      </c>
      <c r="S268" s="72">
        <f t="shared" si="128"/>
        <v>570900</v>
      </c>
      <c r="T268" s="62">
        <f t="shared" si="148"/>
        <v>570900</v>
      </c>
    </row>
    <row r="269" spans="1:20" ht="25.5">
      <c r="A269" s="100"/>
      <c r="B269" s="9"/>
      <c r="C269" s="9"/>
      <c r="D269" s="69"/>
      <c r="E269" s="69">
        <v>311</v>
      </c>
      <c r="F269" s="3" t="s">
        <v>133</v>
      </c>
      <c r="G269" s="26"/>
      <c r="H269" s="26"/>
      <c r="I269" s="26"/>
      <c r="J269" s="105">
        <f>M269</f>
        <v>0</v>
      </c>
      <c r="K269" s="35">
        <f>'1.03.'!M258</f>
        <v>0</v>
      </c>
      <c r="L269" s="27"/>
      <c r="M269" s="92">
        <f>K269+L269</f>
        <v>0</v>
      </c>
      <c r="N269" s="93">
        <f>I269-M269</f>
        <v>0</v>
      </c>
      <c r="O269" s="70" t="e">
        <f t="shared" si="150"/>
        <v>#DIV/0!</v>
      </c>
      <c r="P269" s="71">
        <f t="shared" si="126"/>
        <v>0</v>
      </c>
      <c r="Q269" s="35">
        <f t="shared" si="127"/>
        <v>0</v>
      </c>
      <c r="R269" s="72">
        <v>1103829</v>
      </c>
      <c r="S269" s="72">
        <f t="shared" si="128"/>
        <v>0</v>
      </c>
    </row>
    <row r="270" spans="1:20">
      <c r="A270" s="100"/>
      <c r="B270" s="9"/>
      <c r="C270" s="9"/>
      <c r="D270" s="69"/>
      <c r="E270" s="69">
        <v>313</v>
      </c>
      <c r="F270" s="3" t="s">
        <v>165</v>
      </c>
      <c r="G270" s="26">
        <f>10853+224150</f>
        <v>235003</v>
      </c>
      <c r="H270" s="26">
        <v>3500</v>
      </c>
      <c r="I270" s="26">
        <v>3500</v>
      </c>
      <c r="J270" s="105">
        <f>M270</f>
        <v>3499.48</v>
      </c>
      <c r="K270" s="35">
        <f>'1.03.'!M259</f>
        <v>1749.74</v>
      </c>
      <c r="L270" s="27">
        <v>1749.74</v>
      </c>
      <c r="M270" s="92">
        <f>K270+L270</f>
        <v>3499.48</v>
      </c>
      <c r="N270" s="93">
        <f>I270-M270</f>
        <v>0.51999999999998181</v>
      </c>
      <c r="O270" s="70">
        <f t="shared" si="150"/>
        <v>99.985142857142861</v>
      </c>
      <c r="P270" s="71">
        <f t="shared" si="126"/>
        <v>0</v>
      </c>
      <c r="Q270" s="35">
        <f t="shared" si="127"/>
        <v>0.51999999999998181</v>
      </c>
      <c r="R270" s="72">
        <v>1103829</v>
      </c>
      <c r="S270" s="72">
        <f t="shared" si="128"/>
        <v>231503.52</v>
      </c>
    </row>
    <row r="271" spans="1:20" s="73" customFormat="1" ht="38.25">
      <c r="A271" s="103"/>
      <c r="B271" s="8"/>
      <c r="C271" s="17" t="s">
        <v>34</v>
      </c>
      <c r="D271" s="21"/>
      <c r="E271" s="21"/>
      <c r="F271" s="125" t="s">
        <v>134</v>
      </c>
      <c r="G271" s="23">
        <f>G272</f>
        <v>10428</v>
      </c>
      <c r="H271" s="23">
        <f t="shared" ref="H271:O271" si="161">H272</f>
        <v>0</v>
      </c>
      <c r="I271" s="23">
        <f t="shared" si="161"/>
        <v>0</v>
      </c>
      <c r="J271" s="38">
        <f t="shared" si="161"/>
        <v>0</v>
      </c>
      <c r="K271" s="35">
        <f>'1.02.'!M259</f>
        <v>0</v>
      </c>
      <c r="L271" s="23">
        <f t="shared" si="161"/>
        <v>0</v>
      </c>
      <c r="M271" s="24">
        <f t="shared" si="161"/>
        <v>0</v>
      </c>
      <c r="N271" s="23">
        <f t="shared" si="161"/>
        <v>0</v>
      </c>
      <c r="O271" s="39" t="e">
        <f t="shared" si="161"/>
        <v>#DIV/0!</v>
      </c>
      <c r="P271" s="71">
        <f t="shared" si="126"/>
        <v>0</v>
      </c>
      <c r="Q271" s="35">
        <f t="shared" si="127"/>
        <v>0</v>
      </c>
      <c r="R271" s="72">
        <v>1103830</v>
      </c>
      <c r="S271" s="72">
        <f t="shared" si="128"/>
        <v>10428</v>
      </c>
      <c r="T271" s="62">
        <f t="shared" si="148"/>
        <v>10428</v>
      </c>
    </row>
    <row r="272" spans="1:20">
      <c r="A272" s="100"/>
      <c r="B272" s="8"/>
      <c r="C272" s="8"/>
      <c r="D272" s="17" t="s">
        <v>7</v>
      </c>
      <c r="E272" s="10"/>
      <c r="F272" s="135" t="s">
        <v>85</v>
      </c>
      <c r="G272" s="59">
        <f>G273+G274</f>
        <v>10428</v>
      </c>
      <c r="H272" s="59">
        <f t="shared" ref="H272:N272" si="162">H273+H274</f>
        <v>0</v>
      </c>
      <c r="I272" s="59">
        <f t="shared" si="162"/>
        <v>0</v>
      </c>
      <c r="J272" s="59">
        <f t="shared" si="162"/>
        <v>0</v>
      </c>
      <c r="K272" s="59">
        <f t="shared" si="162"/>
        <v>0</v>
      </c>
      <c r="L272" s="59">
        <f t="shared" si="162"/>
        <v>0</v>
      </c>
      <c r="M272" s="59">
        <f t="shared" si="162"/>
        <v>0</v>
      </c>
      <c r="N272" s="59">
        <f t="shared" si="162"/>
        <v>0</v>
      </c>
      <c r="O272" s="68" t="e">
        <f>M272/I272*100</f>
        <v>#DIV/0!</v>
      </c>
      <c r="P272" s="71">
        <f t="shared" si="126"/>
        <v>0</v>
      </c>
      <c r="Q272" s="35">
        <f t="shared" si="127"/>
        <v>0</v>
      </c>
      <c r="R272" s="72">
        <v>1103831</v>
      </c>
      <c r="S272" s="72">
        <f t="shared" si="128"/>
        <v>10428</v>
      </c>
      <c r="T272" s="62">
        <f t="shared" si="148"/>
        <v>10428</v>
      </c>
    </row>
    <row r="273" spans="1:20" ht="25.5">
      <c r="A273" s="100"/>
      <c r="B273" s="9"/>
      <c r="C273" s="9"/>
      <c r="D273" s="69"/>
      <c r="E273" s="69">
        <v>311</v>
      </c>
      <c r="F273" s="142" t="s">
        <v>133</v>
      </c>
      <c r="G273" s="26">
        <f>10428-10428</f>
        <v>0</v>
      </c>
      <c r="H273" s="26"/>
      <c r="I273" s="26"/>
      <c r="J273" s="105">
        <f>M273</f>
        <v>0</v>
      </c>
      <c r="K273" s="35">
        <f>'1.02.'!M261</f>
        <v>0</v>
      </c>
      <c r="L273" s="27"/>
      <c r="M273" s="92">
        <f>K273+L273</f>
        <v>0</v>
      </c>
      <c r="N273" s="93">
        <f>I273-M273</f>
        <v>0</v>
      </c>
      <c r="O273" s="70" t="e">
        <f>M273/I273*100</f>
        <v>#DIV/0!</v>
      </c>
      <c r="P273" s="71">
        <f t="shared" si="126"/>
        <v>0</v>
      </c>
      <c r="Q273" s="35">
        <f t="shared" si="127"/>
        <v>0</v>
      </c>
      <c r="R273" s="72">
        <v>1103832</v>
      </c>
      <c r="S273" s="72">
        <f t="shared" si="128"/>
        <v>0</v>
      </c>
      <c r="T273" s="62">
        <f t="shared" si="148"/>
        <v>0</v>
      </c>
    </row>
    <row r="274" spans="1:20">
      <c r="A274" s="100"/>
      <c r="B274" s="9"/>
      <c r="C274" s="9"/>
      <c r="D274" s="69"/>
      <c r="E274" s="69">
        <v>312</v>
      </c>
      <c r="F274" s="3" t="s">
        <v>166</v>
      </c>
      <c r="G274" s="26">
        <v>10428</v>
      </c>
      <c r="H274" s="26"/>
      <c r="I274" s="26"/>
      <c r="J274" s="105"/>
      <c r="K274" s="35"/>
      <c r="L274" s="27"/>
      <c r="M274" s="92"/>
      <c r="N274" s="93"/>
      <c r="O274" s="70"/>
      <c r="P274" s="71"/>
      <c r="Q274" s="35"/>
      <c r="R274" s="72"/>
      <c r="S274" s="72"/>
    </row>
    <row r="275" spans="1:20" s="73" customFormat="1" ht="25.5">
      <c r="A275" s="8"/>
      <c r="B275" s="58">
        <v>1268</v>
      </c>
      <c r="C275" s="8"/>
      <c r="D275" s="21"/>
      <c r="E275" s="21"/>
      <c r="F275" s="143" t="s">
        <v>135</v>
      </c>
      <c r="G275" s="59">
        <f>G276+G303</f>
        <v>603992</v>
      </c>
      <c r="H275" s="59">
        <f t="shared" ref="H275:N275" si="163">H276+H303</f>
        <v>16009.900000000001</v>
      </c>
      <c r="I275" s="59">
        <f t="shared" si="163"/>
        <v>15401.900000000001</v>
      </c>
      <c r="J275" s="60">
        <f t="shared" si="163"/>
        <v>16009.855820000001</v>
      </c>
      <c r="K275" s="29">
        <f>'1.02.'!M262</f>
        <v>2434.3649999999998</v>
      </c>
      <c r="L275" s="60">
        <f t="shared" si="163"/>
        <v>9875.8558200000007</v>
      </c>
      <c r="M275" s="29">
        <f t="shared" si="163"/>
        <v>15401.855820000001</v>
      </c>
      <c r="N275" s="29">
        <f t="shared" si="163"/>
        <v>4.4179999999869324E-2</v>
      </c>
      <c r="O275" s="68">
        <f t="shared" ref="O275:O279" si="164">M275/I275*100</f>
        <v>99.999713152273415</v>
      </c>
      <c r="P275" s="71">
        <f t="shared" si="126"/>
        <v>608</v>
      </c>
      <c r="Q275" s="35">
        <f t="shared" si="127"/>
        <v>4.4180000000778819E-2</v>
      </c>
      <c r="R275" s="72">
        <v>1103833</v>
      </c>
      <c r="S275" s="72">
        <f t="shared" si="128"/>
        <v>588590.14417999994</v>
      </c>
      <c r="T275" s="62">
        <f t="shared" si="148"/>
        <v>587982.14417999994</v>
      </c>
    </row>
    <row r="276" spans="1:20" ht="38.25">
      <c r="A276" s="8"/>
      <c r="B276" s="8"/>
      <c r="C276" s="17" t="s">
        <v>38</v>
      </c>
      <c r="D276" s="17"/>
      <c r="E276" s="21"/>
      <c r="F276" s="139" t="s">
        <v>121</v>
      </c>
      <c r="G276" s="42">
        <f>G284</f>
        <v>547045</v>
      </c>
      <c r="H276" s="42">
        <f t="shared" ref="H276:N276" si="165">H284</f>
        <v>16009.900000000001</v>
      </c>
      <c r="I276" s="42">
        <f t="shared" si="165"/>
        <v>15401.900000000001</v>
      </c>
      <c r="J276" s="42">
        <f t="shared" si="165"/>
        <v>16009.855820000001</v>
      </c>
      <c r="K276" s="29">
        <f>'1.02.'!M263</f>
        <v>2434.3649999999998</v>
      </c>
      <c r="L276" s="60">
        <f t="shared" si="165"/>
        <v>9875.8558200000007</v>
      </c>
      <c r="M276" s="42">
        <f t="shared" si="165"/>
        <v>15401.855820000001</v>
      </c>
      <c r="N276" s="29">
        <f t="shared" si="165"/>
        <v>4.4179999999869324E-2</v>
      </c>
      <c r="O276" s="68">
        <f t="shared" si="164"/>
        <v>99.999713152273415</v>
      </c>
      <c r="P276" s="71">
        <f t="shared" si="126"/>
        <v>608</v>
      </c>
      <c r="Q276" s="35">
        <f t="shared" si="127"/>
        <v>4.4180000000778819E-2</v>
      </c>
      <c r="R276" s="72">
        <v>1103834</v>
      </c>
      <c r="S276" s="72">
        <f t="shared" si="128"/>
        <v>531643.14417999994</v>
      </c>
      <c r="T276" s="62">
        <f t="shared" si="148"/>
        <v>531035.14417999994</v>
      </c>
    </row>
    <row r="277" spans="1:20" hidden="1">
      <c r="A277" s="8"/>
      <c r="B277" s="8"/>
      <c r="C277" s="8"/>
      <c r="D277" s="17" t="s">
        <v>28</v>
      </c>
      <c r="E277" s="10"/>
      <c r="F277" s="135" t="s">
        <v>85</v>
      </c>
      <c r="G277" s="42">
        <f>SUM(G278:G283)</f>
        <v>0</v>
      </c>
      <c r="H277" s="42">
        <f t="shared" ref="H277:N277" si="166">SUM(H278:H283)</f>
        <v>0</v>
      </c>
      <c r="I277" s="42">
        <f t="shared" si="166"/>
        <v>0</v>
      </c>
      <c r="J277" s="33" t="e">
        <f t="shared" si="166"/>
        <v>#REF!</v>
      </c>
      <c r="K277" s="29" t="e">
        <f>'1.02.'!M264</f>
        <v>#REF!</v>
      </c>
      <c r="L277" s="33">
        <f t="shared" si="166"/>
        <v>0</v>
      </c>
      <c r="M277" s="60" t="e">
        <f t="shared" si="166"/>
        <v>#REF!</v>
      </c>
      <c r="N277" s="60" t="e">
        <f t="shared" si="166"/>
        <v>#REF!</v>
      </c>
      <c r="O277" s="68" t="e">
        <f t="shared" si="164"/>
        <v>#REF!</v>
      </c>
      <c r="P277" s="71" t="e">
        <f t="shared" si="126"/>
        <v>#REF!</v>
      </c>
      <c r="Q277" s="35" t="e">
        <f t="shared" si="127"/>
        <v>#REF!</v>
      </c>
      <c r="R277" s="72">
        <v>1103835</v>
      </c>
      <c r="S277" s="72" t="e">
        <f t="shared" si="128"/>
        <v>#REF!</v>
      </c>
      <c r="T277" s="62" t="e">
        <f t="shared" si="148"/>
        <v>#REF!</v>
      </c>
    </row>
    <row r="278" spans="1:20" s="73" customFormat="1" hidden="1">
      <c r="A278" s="9"/>
      <c r="B278" s="9"/>
      <c r="C278" s="9"/>
      <c r="D278" s="69"/>
      <c r="E278" s="69">
        <v>111</v>
      </c>
      <c r="F278" s="3" t="s">
        <v>0</v>
      </c>
      <c r="G278" s="26"/>
      <c r="H278" s="26"/>
      <c r="I278" s="26"/>
      <c r="J278" s="105" t="e">
        <f t="shared" ref="J278:J283" si="167">M278</f>
        <v>#REF!</v>
      </c>
      <c r="K278" s="29" t="e">
        <f>'1.02.'!M265</f>
        <v>#REF!</v>
      </c>
      <c r="L278" s="27"/>
      <c r="M278" s="71" t="e">
        <f t="shared" ref="M278:M283" si="168">K278+L278</f>
        <v>#REF!</v>
      </c>
      <c r="N278" s="35" t="e">
        <f t="shared" ref="N278:N283" si="169">I278-M278</f>
        <v>#REF!</v>
      </c>
      <c r="O278" s="70" t="e">
        <f t="shared" si="164"/>
        <v>#REF!</v>
      </c>
      <c r="P278" s="71" t="e">
        <f t="shared" si="126"/>
        <v>#REF!</v>
      </c>
      <c r="Q278" s="35" t="e">
        <f t="shared" si="127"/>
        <v>#REF!</v>
      </c>
      <c r="R278" s="72">
        <v>1103836</v>
      </c>
      <c r="S278" s="72" t="e">
        <f t="shared" si="128"/>
        <v>#REF!</v>
      </c>
      <c r="T278" s="62" t="e">
        <f t="shared" si="148"/>
        <v>#REF!</v>
      </c>
    </row>
    <row r="279" spans="1:20" hidden="1">
      <c r="A279" s="9"/>
      <c r="B279" s="9"/>
      <c r="C279" s="9"/>
      <c r="D279" s="69"/>
      <c r="E279" s="76">
        <v>113</v>
      </c>
      <c r="F279" s="3" t="s">
        <v>1</v>
      </c>
      <c r="G279" s="26"/>
      <c r="H279" s="26"/>
      <c r="I279" s="26"/>
      <c r="J279" s="105" t="e">
        <f t="shared" si="167"/>
        <v>#REF!</v>
      </c>
      <c r="K279" s="29" t="e">
        <f>'1.02.'!M266</f>
        <v>#REF!</v>
      </c>
      <c r="L279" s="27"/>
      <c r="M279" s="71" t="e">
        <f t="shared" si="168"/>
        <v>#REF!</v>
      </c>
      <c r="N279" s="35" t="e">
        <f t="shared" si="169"/>
        <v>#REF!</v>
      </c>
      <c r="O279" s="70" t="e">
        <f t="shared" si="164"/>
        <v>#REF!</v>
      </c>
      <c r="P279" s="71" t="e">
        <f t="shared" ref="P279:P307" si="170">J279-M279</f>
        <v>#REF!</v>
      </c>
      <c r="Q279" s="35" t="e">
        <f t="shared" ref="Q279:Q307" si="171">H279-J279</f>
        <v>#REF!</v>
      </c>
      <c r="R279" s="72">
        <v>1103837</v>
      </c>
      <c r="S279" s="72" t="e">
        <f t="shared" ref="S279:S307" si="172">G279-M279</f>
        <v>#REF!</v>
      </c>
      <c r="T279" s="62" t="e">
        <f t="shared" si="148"/>
        <v>#REF!</v>
      </c>
    </row>
    <row r="280" spans="1:20" hidden="1">
      <c r="A280" s="9"/>
      <c r="B280" s="9"/>
      <c r="C280" s="9"/>
      <c r="D280" s="69"/>
      <c r="E280" s="69">
        <v>116</v>
      </c>
      <c r="F280" s="3" t="s">
        <v>42</v>
      </c>
      <c r="G280" s="26"/>
      <c r="H280" s="26"/>
      <c r="I280" s="26"/>
      <c r="J280" s="105" t="e">
        <f t="shared" si="167"/>
        <v>#REF!</v>
      </c>
      <c r="K280" s="29" t="e">
        <f>'1.02.'!M267</f>
        <v>#REF!</v>
      </c>
      <c r="L280" s="27"/>
      <c r="M280" s="71" t="e">
        <f t="shared" si="168"/>
        <v>#REF!</v>
      </c>
      <c r="N280" s="35" t="e">
        <f t="shared" si="169"/>
        <v>#REF!</v>
      </c>
      <c r="O280" s="70" t="e">
        <f>M280/I280*100</f>
        <v>#REF!</v>
      </c>
      <c r="P280" s="71" t="e">
        <f t="shared" si="170"/>
        <v>#REF!</v>
      </c>
      <c r="Q280" s="35" t="e">
        <f t="shared" si="171"/>
        <v>#REF!</v>
      </c>
      <c r="R280" s="72">
        <v>1103838</v>
      </c>
      <c r="S280" s="72" t="e">
        <f t="shared" si="172"/>
        <v>#REF!</v>
      </c>
    </row>
    <row r="281" spans="1:20" s="73" customFormat="1" hidden="1">
      <c r="A281" s="9"/>
      <c r="B281" s="9"/>
      <c r="C281" s="9"/>
      <c r="D281" s="69"/>
      <c r="E281" s="69">
        <v>121</v>
      </c>
      <c r="F281" s="3" t="s">
        <v>2</v>
      </c>
      <c r="G281" s="26"/>
      <c r="H281" s="26"/>
      <c r="I281" s="26"/>
      <c r="J281" s="105" t="e">
        <f t="shared" si="167"/>
        <v>#REF!</v>
      </c>
      <c r="K281" s="29" t="e">
        <f>'1.02.'!M268</f>
        <v>#REF!</v>
      </c>
      <c r="L281" s="27"/>
      <c r="M281" s="71" t="e">
        <f t="shared" si="168"/>
        <v>#REF!</v>
      </c>
      <c r="N281" s="35" t="e">
        <f t="shared" si="169"/>
        <v>#REF!</v>
      </c>
      <c r="O281" s="70" t="e">
        <f>M281/I281*100</f>
        <v>#REF!</v>
      </c>
      <c r="P281" s="71" t="e">
        <f t="shared" si="170"/>
        <v>#REF!</v>
      </c>
      <c r="Q281" s="35" t="e">
        <f t="shared" si="171"/>
        <v>#REF!</v>
      </c>
      <c r="R281" s="72">
        <v>1103839</v>
      </c>
      <c r="S281" s="72" t="e">
        <f t="shared" si="172"/>
        <v>#REF!</v>
      </c>
      <c r="T281" s="62" t="e">
        <f t="shared" ref="T281:T285" si="173">G281-J281</f>
        <v>#REF!</v>
      </c>
    </row>
    <row r="282" spans="1:20" s="73" customFormat="1" ht="25.5" hidden="1">
      <c r="A282" s="9"/>
      <c r="B282" s="9"/>
      <c r="C282" s="9"/>
      <c r="D282" s="69"/>
      <c r="E282" s="69">
        <v>122</v>
      </c>
      <c r="F282" s="3" t="s">
        <v>3</v>
      </c>
      <c r="G282" s="26"/>
      <c r="H282" s="26"/>
      <c r="I282" s="26"/>
      <c r="J282" s="105" t="e">
        <f t="shared" si="167"/>
        <v>#REF!</v>
      </c>
      <c r="K282" s="29" t="e">
        <f>'1.02.'!M269</f>
        <v>#REF!</v>
      </c>
      <c r="L282" s="27"/>
      <c r="M282" s="71" t="e">
        <f t="shared" si="168"/>
        <v>#REF!</v>
      </c>
      <c r="N282" s="35" t="e">
        <f t="shared" si="169"/>
        <v>#REF!</v>
      </c>
      <c r="O282" s="70" t="e">
        <f t="shared" ref="O282:O287" si="174">M282/I282*100</f>
        <v>#REF!</v>
      </c>
      <c r="P282" s="71" t="e">
        <f t="shared" si="170"/>
        <v>#REF!</v>
      </c>
      <c r="Q282" s="35" t="e">
        <f t="shared" si="171"/>
        <v>#REF!</v>
      </c>
      <c r="R282" s="72">
        <v>1103840</v>
      </c>
      <c r="S282" s="72" t="e">
        <f t="shared" si="172"/>
        <v>#REF!</v>
      </c>
      <c r="T282" s="62" t="e">
        <f t="shared" si="173"/>
        <v>#REF!</v>
      </c>
    </row>
    <row r="283" spans="1:20" s="73" customFormat="1" ht="25.5" hidden="1">
      <c r="A283" s="9"/>
      <c r="B283" s="9"/>
      <c r="C283" s="9"/>
      <c r="D283" s="69"/>
      <c r="E283" s="69">
        <v>124</v>
      </c>
      <c r="F283" s="3" t="s">
        <v>19</v>
      </c>
      <c r="G283" s="26"/>
      <c r="H283" s="26"/>
      <c r="I283" s="26"/>
      <c r="J283" s="105" t="e">
        <f t="shared" si="167"/>
        <v>#REF!</v>
      </c>
      <c r="K283" s="29" t="e">
        <f>'1.02.'!M270</f>
        <v>#REF!</v>
      </c>
      <c r="L283" s="27"/>
      <c r="M283" s="71" t="e">
        <f t="shared" si="168"/>
        <v>#REF!</v>
      </c>
      <c r="N283" s="35" t="e">
        <f t="shared" si="169"/>
        <v>#REF!</v>
      </c>
      <c r="O283" s="70" t="e">
        <f t="shared" si="174"/>
        <v>#REF!</v>
      </c>
      <c r="P283" s="71" t="e">
        <f t="shared" si="170"/>
        <v>#REF!</v>
      </c>
      <c r="Q283" s="35" t="e">
        <f t="shared" si="171"/>
        <v>#REF!</v>
      </c>
      <c r="R283" s="72">
        <v>1103841</v>
      </c>
      <c r="S283" s="72" t="e">
        <f t="shared" si="172"/>
        <v>#REF!</v>
      </c>
      <c r="T283" s="62" t="e">
        <f t="shared" si="173"/>
        <v>#REF!</v>
      </c>
    </row>
    <row r="284" spans="1:20">
      <c r="A284" s="8"/>
      <c r="B284" s="8"/>
      <c r="C284" s="17"/>
      <c r="D284" s="17" t="s">
        <v>7</v>
      </c>
      <c r="E284" s="10"/>
      <c r="F284" s="135" t="s">
        <v>85</v>
      </c>
      <c r="G284" s="40">
        <f>SUM(G285:G302)</f>
        <v>547045</v>
      </c>
      <c r="H284" s="40">
        <f>SUM(H285:H302)</f>
        <v>16009.900000000001</v>
      </c>
      <c r="I284" s="40">
        <f>SUM(I285:I302)</f>
        <v>15401.900000000001</v>
      </c>
      <c r="J284" s="24">
        <f t="shared" ref="J284" si="175">SUM(J285:J302)</f>
        <v>16009.855820000001</v>
      </c>
      <c r="K284" s="29">
        <f>'1.02.'!M271</f>
        <v>2434.3649999999998</v>
      </c>
      <c r="L284" s="24">
        <f>SUM(L285:L302)</f>
        <v>9875.8558200000007</v>
      </c>
      <c r="M284" s="24">
        <f t="shared" ref="M284" si="176">SUM(M285:M302)</f>
        <v>15401.855820000001</v>
      </c>
      <c r="N284" s="24">
        <f>SUM(N285:N302)</f>
        <v>4.4179999999869324E-2</v>
      </c>
      <c r="O284" s="66">
        <f t="shared" si="174"/>
        <v>99.999713152273415</v>
      </c>
      <c r="P284" s="71">
        <f t="shared" si="170"/>
        <v>608</v>
      </c>
      <c r="Q284" s="35">
        <f t="shared" si="171"/>
        <v>4.4180000000778819E-2</v>
      </c>
      <c r="R284" s="72">
        <v>1103842</v>
      </c>
      <c r="S284" s="72">
        <f t="shared" si="172"/>
        <v>531643.14417999994</v>
      </c>
      <c r="T284" s="62">
        <f t="shared" si="173"/>
        <v>531035.14417999994</v>
      </c>
    </row>
    <row r="285" spans="1:20">
      <c r="A285" s="8"/>
      <c r="B285" s="9"/>
      <c r="C285" s="9"/>
      <c r="D285" s="69"/>
      <c r="E285" s="69">
        <v>111</v>
      </c>
      <c r="F285" s="136" t="s">
        <v>86</v>
      </c>
      <c r="G285" s="26">
        <f>395706-34947</f>
        <v>360759</v>
      </c>
      <c r="H285" s="26">
        <v>8627</v>
      </c>
      <c r="I285" s="26">
        <v>8627</v>
      </c>
      <c r="J285" s="105">
        <f>M285</f>
        <v>8627</v>
      </c>
      <c r="K285" s="35">
        <f>'1.03.'!M274</f>
        <v>5136</v>
      </c>
      <c r="L285" s="27">
        <v>3491</v>
      </c>
      <c r="M285" s="92">
        <f t="shared" ref="M285:M287" si="177">K285+L285</f>
        <v>8627</v>
      </c>
      <c r="N285" s="93">
        <f t="shared" ref="N285:N287" si="178">I285-M285</f>
        <v>0</v>
      </c>
      <c r="O285" s="70">
        <f t="shared" si="174"/>
        <v>100</v>
      </c>
      <c r="P285" s="71">
        <f t="shared" si="170"/>
        <v>0</v>
      </c>
      <c r="Q285" s="35">
        <f t="shared" si="171"/>
        <v>0</v>
      </c>
      <c r="R285" s="72">
        <v>1103843</v>
      </c>
      <c r="S285" s="72">
        <f t="shared" si="172"/>
        <v>352132</v>
      </c>
      <c r="T285" s="62">
        <f t="shared" si="173"/>
        <v>352132</v>
      </c>
    </row>
    <row r="286" spans="1:20">
      <c r="A286" s="8"/>
      <c r="B286" s="9"/>
      <c r="C286" s="9"/>
      <c r="D286" s="69"/>
      <c r="E286" s="69">
        <v>112</v>
      </c>
      <c r="F286" s="136" t="s">
        <v>87</v>
      </c>
      <c r="G286" s="26"/>
      <c r="H286" s="26"/>
      <c r="I286" s="26"/>
      <c r="J286" s="105">
        <f t="shared" ref="J286:J302" si="179">M286</f>
        <v>0</v>
      </c>
      <c r="K286" s="35">
        <f>'1.03.'!M275</f>
        <v>0</v>
      </c>
      <c r="L286" s="27"/>
      <c r="M286" s="92">
        <f t="shared" si="177"/>
        <v>0</v>
      </c>
      <c r="N286" s="93">
        <f t="shared" si="178"/>
        <v>0</v>
      </c>
      <c r="O286" s="70" t="e">
        <f t="shared" si="174"/>
        <v>#DIV/0!</v>
      </c>
      <c r="P286" s="71">
        <f t="shared" si="170"/>
        <v>0</v>
      </c>
      <c r="Q286" s="35">
        <f t="shared" si="171"/>
        <v>0</v>
      </c>
      <c r="R286" s="72">
        <v>1103844</v>
      </c>
      <c r="S286" s="72">
        <f t="shared" si="172"/>
        <v>0</v>
      </c>
    </row>
    <row r="287" spans="1:20">
      <c r="A287" s="8"/>
      <c r="B287" s="9"/>
      <c r="C287" s="9"/>
      <c r="D287" s="69"/>
      <c r="E287" s="76">
        <v>113</v>
      </c>
      <c r="F287" s="136" t="s">
        <v>88</v>
      </c>
      <c r="G287" s="26">
        <f>19666-5000</f>
        <v>14666</v>
      </c>
      <c r="H287" s="26"/>
      <c r="I287" s="26"/>
      <c r="J287" s="105">
        <f t="shared" si="179"/>
        <v>0</v>
      </c>
      <c r="K287" s="35">
        <f>'1.03.'!M276</f>
        <v>0</v>
      </c>
      <c r="L287" s="27"/>
      <c r="M287" s="92">
        <f t="shared" si="177"/>
        <v>0</v>
      </c>
      <c r="N287" s="93">
        <f t="shared" si="178"/>
        <v>0</v>
      </c>
      <c r="O287" s="70" t="e">
        <f t="shared" si="174"/>
        <v>#DIV/0!</v>
      </c>
      <c r="P287" s="71">
        <f t="shared" si="170"/>
        <v>0</v>
      </c>
      <c r="Q287" s="35">
        <f t="shared" si="171"/>
        <v>0</v>
      </c>
      <c r="R287" s="72">
        <v>1103845</v>
      </c>
      <c r="S287" s="72">
        <f t="shared" si="172"/>
        <v>14666</v>
      </c>
      <c r="T287" s="62">
        <f t="shared" ref="T287" si="180">G287-J287</f>
        <v>14666</v>
      </c>
    </row>
    <row r="288" spans="1:20">
      <c r="A288" s="8"/>
      <c r="B288" s="9"/>
      <c r="C288" s="9"/>
      <c r="D288" s="69"/>
      <c r="E288" s="69">
        <v>116</v>
      </c>
      <c r="F288" s="136" t="s">
        <v>89</v>
      </c>
      <c r="G288" s="26">
        <f>13850-2000</f>
        <v>11850</v>
      </c>
      <c r="H288" s="26">
        <v>189.2</v>
      </c>
      <c r="I288" s="26">
        <v>189.2</v>
      </c>
      <c r="J288" s="105">
        <f t="shared" si="179"/>
        <v>189.2</v>
      </c>
      <c r="K288" s="35">
        <f>'1.03.'!M277</f>
        <v>45</v>
      </c>
      <c r="L288" s="27">
        <v>144.19999999999999</v>
      </c>
      <c r="M288" s="92">
        <f>K288+L288</f>
        <v>189.2</v>
      </c>
      <c r="N288" s="93">
        <f>I288-M288</f>
        <v>0</v>
      </c>
      <c r="O288" s="70">
        <f>M288/I288*100</f>
        <v>100</v>
      </c>
      <c r="P288" s="71">
        <f t="shared" si="170"/>
        <v>0</v>
      </c>
      <c r="Q288" s="35">
        <f t="shared" si="171"/>
        <v>0</v>
      </c>
      <c r="R288" s="72">
        <v>1103846</v>
      </c>
      <c r="S288" s="72">
        <f t="shared" si="172"/>
        <v>11660.8</v>
      </c>
    </row>
    <row r="289" spans="1:20">
      <c r="A289" s="8"/>
      <c r="B289" s="9"/>
      <c r="C289" s="9"/>
      <c r="D289" s="69"/>
      <c r="E289" s="69">
        <v>121</v>
      </c>
      <c r="F289" s="136" t="s">
        <v>90</v>
      </c>
      <c r="G289" s="26">
        <f>20498-5000</f>
        <v>15498</v>
      </c>
      <c r="H289" s="26">
        <v>285</v>
      </c>
      <c r="I289" s="26">
        <v>285</v>
      </c>
      <c r="J289" s="105">
        <f t="shared" si="179"/>
        <v>285</v>
      </c>
      <c r="K289" s="35">
        <f>'1.03.'!M278</f>
        <v>129</v>
      </c>
      <c r="L289" s="27">
        <v>156</v>
      </c>
      <c r="M289" s="92">
        <f t="shared" ref="M289:M301" si="181">K289+L289</f>
        <v>285</v>
      </c>
      <c r="N289" s="93">
        <f t="shared" ref="N289:N302" si="182">I289-M289</f>
        <v>0</v>
      </c>
      <c r="O289" s="70">
        <f t="shared" ref="O289:O302" si="183">M289/I289*100</f>
        <v>100</v>
      </c>
      <c r="P289" s="71">
        <f t="shared" si="170"/>
        <v>0</v>
      </c>
      <c r="Q289" s="35">
        <f t="shared" si="171"/>
        <v>0</v>
      </c>
      <c r="R289" s="72">
        <v>1103847</v>
      </c>
      <c r="S289" s="72">
        <f t="shared" si="172"/>
        <v>15213</v>
      </c>
      <c r="T289" s="62">
        <f t="shared" ref="T289:T298" si="184">G289-J289</f>
        <v>15213</v>
      </c>
    </row>
    <row r="290" spans="1:20" ht="25.5">
      <c r="A290" s="8"/>
      <c r="B290" s="9"/>
      <c r="C290" s="9"/>
      <c r="D290" s="69"/>
      <c r="E290" s="69">
        <v>122</v>
      </c>
      <c r="F290" s="136" t="s">
        <v>91</v>
      </c>
      <c r="G290" s="26">
        <f>17807-5000</f>
        <v>12807</v>
      </c>
      <c r="H290" s="26">
        <v>384</v>
      </c>
      <c r="I290" s="26">
        <v>384</v>
      </c>
      <c r="J290" s="105">
        <f t="shared" si="179"/>
        <v>384</v>
      </c>
      <c r="K290" s="35">
        <f>'1.03.'!M279</f>
        <v>109</v>
      </c>
      <c r="L290" s="27">
        <v>275</v>
      </c>
      <c r="M290" s="92">
        <f t="shared" si="181"/>
        <v>384</v>
      </c>
      <c r="N290" s="93">
        <f t="shared" si="182"/>
        <v>0</v>
      </c>
      <c r="O290" s="70">
        <f t="shared" si="183"/>
        <v>100</v>
      </c>
      <c r="P290" s="71">
        <f t="shared" si="170"/>
        <v>0</v>
      </c>
      <c r="Q290" s="35">
        <f t="shared" si="171"/>
        <v>0</v>
      </c>
      <c r="R290" s="72">
        <v>1103848</v>
      </c>
      <c r="S290" s="72">
        <f t="shared" si="172"/>
        <v>12423</v>
      </c>
      <c r="T290" s="62">
        <f t="shared" si="184"/>
        <v>12423</v>
      </c>
    </row>
    <row r="291" spans="1:20">
      <c r="A291" s="8"/>
      <c r="B291" s="9"/>
      <c r="C291" s="9"/>
      <c r="D291" s="69"/>
      <c r="E291" s="69">
        <v>123</v>
      </c>
      <c r="F291" s="136" t="s">
        <v>92</v>
      </c>
      <c r="G291" s="26"/>
      <c r="H291" s="26"/>
      <c r="I291" s="26"/>
      <c r="J291" s="105">
        <f t="shared" si="179"/>
        <v>0</v>
      </c>
      <c r="K291" s="35">
        <f>'1.03.'!M280</f>
        <v>0</v>
      </c>
      <c r="L291" s="27"/>
      <c r="M291" s="92">
        <f t="shared" si="181"/>
        <v>0</v>
      </c>
      <c r="N291" s="93">
        <f t="shared" si="182"/>
        <v>0</v>
      </c>
      <c r="O291" s="70" t="e">
        <f t="shared" si="183"/>
        <v>#DIV/0!</v>
      </c>
      <c r="P291" s="71">
        <f t="shared" si="170"/>
        <v>0</v>
      </c>
      <c r="Q291" s="35">
        <f t="shared" si="171"/>
        <v>0</v>
      </c>
      <c r="R291" s="72">
        <v>1103849</v>
      </c>
      <c r="S291" s="72">
        <f t="shared" si="172"/>
        <v>0</v>
      </c>
      <c r="T291" s="62">
        <f t="shared" si="184"/>
        <v>0</v>
      </c>
    </row>
    <row r="292" spans="1:20">
      <c r="A292" s="9"/>
      <c r="B292" s="9"/>
      <c r="C292" s="9"/>
      <c r="D292" s="69"/>
      <c r="E292" s="69">
        <v>124</v>
      </c>
      <c r="F292" s="136" t="s">
        <v>93</v>
      </c>
      <c r="G292" s="26">
        <f>11872-5000</f>
        <v>6872</v>
      </c>
      <c r="H292" s="26">
        <v>298</v>
      </c>
      <c r="I292" s="26">
        <v>298</v>
      </c>
      <c r="J292" s="105">
        <f t="shared" si="179"/>
        <v>298</v>
      </c>
      <c r="K292" s="35">
        <f>'1.03.'!M281</f>
        <v>46</v>
      </c>
      <c r="L292" s="27">
        <v>252</v>
      </c>
      <c r="M292" s="92">
        <f t="shared" si="181"/>
        <v>298</v>
      </c>
      <c r="N292" s="93">
        <f t="shared" si="182"/>
        <v>0</v>
      </c>
      <c r="O292" s="70">
        <f t="shared" si="183"/>
        <v>100</v>
      </c>
      <c r="P292" s="71">
        <f t="shared" si="170"/>
        <v>0</v>
      </c>
      <c r="Q292" s="35">
        <f t="shared" si="171"/>
        <v>0</v>
      </c>
      <c r="R292" s="72">
        <v>1103850</v>
      </c>
      <c r="S292" s="72">
        <f t="shared" si="172"/>
        <v>6574</v>
      </c>
      <c r="T292" s="62">
        <f t="shared" si="184"/>
        <v>6574</v>
      </c>
    </row>
    <row r="293" spans="1:20" s="73" customFormat="1">
      <c r="A293" s="9"/>
      <c r="B293" s="9"/>
      <c r="C293" s="9"/>
      <c r="D293" s="69"/>
      <c r="E293" s="69">
        <v>141</v>
      </c>
      <c r="F293" s="136" t="s">
        <v>116</v>
      </c>
      <c r="G293" s="26">
        <v>42256</v>
      </c>
      <c r="H293" s="26"/>
      <c r="I293" s="26"/>
      <c r="J293" s="105">
        <f t="shared" si="179"/>
        <v>0</v>
      </c>
      <c r="K293" s="35">
        <f>'1.03.'!M282</f>
        <v>0</v>
      </c>
      <c r="L293" s="27"/>
      <c r="M293" s="92">
        <f t="shared" si="181"/>
        <v>0</v>
      </c>
      <c r="N293" s="93">
        <f t="shared" si="182"/>
        <v>0</v>
      </c>
      <c r="O293" s="70" t="e">
        <f t="shared" si="183"/>
        <v>#DIV/0!</v>
      </c>
      <c r="P293" s="71">
        <f t="shared" si="170"/>
        <v>0</v>
      </c>
      <c r="Q293" s="35">
        <f t="shared" si="171"/>
        <v>0</v>
      </c>
      <c r="R293" s="72">
        <v>1103851</v>
      </c>
      <c r="S293" s="72">
        <f t="shared" si="172"/>
        <v>42256</v>
      </c>
      <c r="T293" s="62">
        <f t="shared" si="184"/>
        <v>42256</v>
      </c>
    </row>
    <row r="294" spans="1:20" ht="25.5">
      <c r="A294" s="9"/>
      <c r="B294" s="9"/>
      <c r="C294" s="9"/>
      <c r="D294" s="69"/>
      <c r="E294" s="69">
        <v>142</v>
      </c>
      <c r="F294" s="136" t="s">
        <v>122</v>
      </c>
      <c r="G294" s="26">
        <v>3014</v>
      </c>
      <c r="H294" s="26"/>
      <c r="I294" s="26"/>
      <c r="J294" s="105">
        <f t="shared" si="179"/>
        <v>0</v>
      </c>
      <c r="K294" s="35">
        <f>'1.03.'!M283</f>
        <v>0</v>
      </c>
      <c r="L294" s="27"/>
      <c r="M294" s="92">
        <f t="shared" si="181"/>
        <v>0</v>
      </c>
      <c r="N294" s="93">
        <f t="shared" si="182"/>
        <v>0</v>
      </c>
      <c r="O294" s="70" t="e">
        <f t="shared" si="183"/>
        <v>#DIV/0!</v>
      </c>
      <c r="P294" s="71">
        <f t="shared" si="170"/>
        <v>0</v>
      </c>
      <c r="Q294" s="35">
        <f t="shared" si="171"/>
        <v>0</v>
      </c>
      <c r="R294" s="72">
        <v>1103852</v>
      </c>
      <c r="S294" s="72">
        <f t="shared" si="172"/>
        <v>3014</v>
      </c>
      <c r="T294" s="62">
        <f t="shared" si="184"/>
        <v>3014</v>
      </c>
    </row>
    <row r="295" spans="1:20">
      <c r="A295" s="9"/>
      <c r="B295" s="9"/>
      <c r="C295" s="9"/>
      <c r="D295" s="69"/>
      <c r="E295" s="69">
        <v>144</v>
      </c>
      <c r="F295" s="136" t="s">
        <v>97</v>
      </c>
      <c r="G295" s="26">
        <v>400</v>
      </c>
      <c r="H295" s="26"/>
      <c r="I295" s="26"/>
      <c r="J295" s="105">
        <f t="shared" si="179"/>
        <v>0</v>
      </c>
      <c r="K295" s="35">
        <f>'1.03.'!M284</f>
        <v>0</v>
      </c>
      <c r="L295" s="27"/>
      <c r="M295" s="92">
        <f t="shared" si="181"/>
        <v>0</v>
      </c>
      <c r="N295" s="93">
        <f t="shared" si="182"/>
        <v>0</v>
      </c>
      <c r="O295" s="70" t="e">
        <f t="shared" si="183"/>
        <v>#DIV/0!</v>
      </c>
      <c r="P295" s="71">
        <f t="shared" si="170"/>
        <v>0</v>
      </c>
      <c r="Q295" s="35">
        <f t="shared" si="171"/>
        <v>0</v>
      </c>
      <c r="R295" s="72">
        <v>1103853</v>
      </c>
      <c r="S295" s="72">
        <f t="shared" si="172"/>
        <v>400</v>
      </c>
      <c r="T295" s="62">
        <f t="shared" si="184"/>
        <v>400</v>
      </c>
    </row>
    <row r="296" spans="1:20">
      <c r="A296" s="9"/>
      <c r="B296" s="9"/>
      <c r="C296" s="9"/>
      <c r="D296" s="69"/>
      <c r="E296" s="69">
        <v>149</v>
      </c>
      <c r="F296" s="136" t="s">
        <v>98</v>
      </c>
      <c r="G296" s="26">
        <v>7350</v>
      </c>
      <c r="H296" s="26"/>
      <c r="I296" s="26"/>
      <c r="J296" s="105">
        <f t="shared" si="179"/>
        <v>0</v>
      </c>
      <c r="K296" s="35">
        <f>'1.03.'!M285</f>
        <v>0</v>
      </c>
      <c r="L296" s="27"/>
      <c r="M296" s="92">
        <f t="shared" si="181"/>
        <v>0</v>
      </c>
      <c r="N296" s="93">
        <f>I296-M296</f>
        <v>0</v>
      </c>
      <c r="O296" s="70" t="e">
        <f t="shared" si="183"/>
        <v>#DIV/0!</v>
      </c>
      <c r="P296" s="71">
        <f t="shared" si="170"/>
        <v>0</v>
      </c>
      <c r="Q296" s="35">
        <f t="shared" si="171"/>
        <v>0</v>
      </c>
      <c r="R296" s="72">
        <v>1103854</v>
      </c>
      <c r="S296" s="72">
        <f t="shared" si="172"/>
        <v>7350</v>
      </c>
      <c r="T296" s="62">
        <f t="shared" si="184"/>
        <v>7350</v>
      </c>
    </row>
    <row r="297" spans="1:20">
      <c r="A297" s="9"/>
      <c r="B297" s="9"/>
      <c r="C297" s="9"/>
      <c r="D297" s="69"/>
      <c r="E297" s="69">
        <v>151</v>
      </c>
      <c r="F297" s="136" t="s">
        <v>99</v>
      </c>
      <c r="G297" s="26">
        <v>46563</v>
      </c>
      <c r="H297" s="26">
        <v>5436.7</v>
      </c>
      <c r="I297" s="26">
        <v>5436.7</v>
      </c>
      <c r="J297" s="105">
        <f t="shared" si="179"/>
        <v>5436.6558199999999</v>
      </c>
      <c r="K297" s="35">
        <f>'1.03.'!M286</f>
        <v>0</v>
      </c>
      <c r="L297" s="27">
        <v>5436.6558199999999</v>
      </c>
      <c r="M297" s="92">
        <f t="shared" si="181"/>
        <v>5436.6558199999999</v>
      </c>
      <c r="N297" s="93">
        <f t="shared" si="182"/>
        <v>4.4179999999869324E-2</v>
      </c>
      <c r="O297" s="70">
        <f t="shared" si="183"/>
        <v>99.999187374694216</v>
      </c>
      <c r="P297" s="71">
        <f t="shared" si="170"/>
        <v>0</v>
      </c>
      <c r="Q297" s="35">
        <f t="shared" si="171"/>
        <v>4.4179999999869324E-2</v>
      </c>
      <c r="R297" s="72">
        <v>1103855</v>
      </c>
      <c r="S297" s="72">
        <f t="shared" si="172"/>
        <v>41126.34418</v>
      </c>
      <c r="T297" s="62">
        <f t="shared" si="184"/>
        <v>41126.34418</v>
      </c>
    </row>
    <row r="298" spans="1:20" hidden="1">
      <c r="A298" s="9"/>
      <c r="B298" s="9"/>
      <c r="C298" s="9"/>
      <c r="D298" s="69"/>
      <c r="E298" s="69">
        <v>152</v>
      </c>
      <c r="F298" s="136" t="s">
        <v>100</v>
      </c>
      <c r="G298" s="26"/>
      <c r="H298" s="26"/>
      <c r="I298" s="26"/>
      <c r="J298" s="105">
        <f t="shared" si="179"/>
        <v>0</v>
      </c>
      <c r="K298" s="35">
        <f>'1.03.'!M287</f>
        <v>0</v>
      </c>
      <c r="L298" s="27"/>
      <c r="M298" s="92">
        <f t="shared" si="181"/>
        <v>0</v>
      </c>
      <c r="N298" s="93">
        <f t="shared" si="182"/>
        <v>0</v>
      </c>
      <c r="O298" s="70" t="e">
        <f t="shared" si="183"/>
        <v>#DIV/0!</v>
      </c>
      <c r="P298" s="71">
        <f t="shared" si="170"/>
        <v>0</v>
      </c>
      <c r="Q298" s="35">
        <f t="shared" si="171"/>
        <v>0</v>
      </c>
      <c r="R298" s="72">
        <v>1103856</v>
      </c>
      <c r="S298" s="72">
        <f t="shared" si="172"/>
        <v>0</v>
      </c>
      <c r="T298" s="62">
        <f t="shared" si="184"/>
        <v>0</v>
      </c>
    </row>
    <row r="299" spans="1:20" ht="25.5">
      <c r="A299" s="9"/>
      <c r="B299" s="9"/>
      <c r="C299" s="9"/>
      <c r="D299" s="69"/>
      <c r="E299" s="69">
        <v>158</v>
      </c>
      <c r="F299" s="136" t="s">
        <v>101</v>
      </c>
      <c r="G299" s="26">
        <v>730</v>
      </c>
      <c r="H299" s="26">
        <v>730</v>
      </c>
      <c r="I299" s="26">
        <v>122</v>
      </c>
      <c r="J299" s="105">
        <v>730</v>
      </c>
      <c r="K299" s="35">
        <f>'1.03.'!M288</f>
        <v>61</v>
      </c>
      <c r="L299" s="27">
        <v>61</v>
      </c>
      <c r="M299" s="92">
        <f t="shared" si="181"/>
        <v>122</v>
      </c>
      <c r="N299" s="93">
        <f t="shared" si="182"/>
        <v>0</v>
      </c>
      <c r="O299" s="70">
        <f t="shared" si="183"/>
        <v>100</v>
      </c>
      <c r="P299" s="71">
        <f t="shared" si="170"/>
        <v>608</v>
      </c>
      <c r="Q299" s="35">
        <f t="shared" si="171"/>
        <v>0</v>
      </c>
      <c r="R299" s="72">
        <v>1103857</v>
      </c>
      <c r="S299" s="72">
        <f t="shared" si="172"/>
        <v>608</v>
      </c>
    </row>
    <row r="300" spans="1:20">
      <c r="A300" s="9"/>
      <c r="B300" s="9"/>
      <c r="C300" s="9"/>
      <c r="D300" s="69"/>
      <c r="E300" s="69">
        <v>159</v>
      </c>
      <c r="F300" s="136" t="s">
        <v>84</v>
      </c>
      <c r="G300" s="26">
        <v>24280</v>
      </c>
      <c r="H300" s="26">
        <v>60</v>
      </c>
      <c r="I300" s="26">
        <v>60</v>
      </c>
      <c r="J300" s="105">
        <f t="shared" si="179"/>
        <v>60</v>
      </c>
      <c r="K300" s="35">
        <f>'1.03.'!M289</f>
        <v>0</v>
      </c>
      <c r="L300" s="27">
        <v>60</v>
      </c>
      <c r="M300" s="92">
        <f t="shared" si="181"/>
        <v>60</v>
      </c>
      <c r="N300" s="93">
        <f t="shared" si="182"/>
        <v>0</v>
      </c>
      <c r="O300" s="70">
        <f t="shared" si="183"/>
        <v>100</v>
      </c>
      <c r="P300" s="71">
        <f t="shared" si="170"/>
        <v>0</v>
      </c>
      <c r="Q300" s="35">
        <f t="shared" si="171"/>
        <v>0</v>
      </c>
      <c r="R300" s="72">
        <v>1103858</v>
      </c>
      <c r="S300" s="72">
        <f t="shared" si="172"/>
        <v>24220</v>
      </c>
      <c r="T300" s="62">
        <f t="shared" ref="T300:T302" si="185">G300-J300</f>
        <v>24220</v>
      </c>
    </row>
    <row r="301" spans="1:20">
      <c r="A301" s="9"/>
      <c r="B301" s="9"/>
      <c r="C301" s="9"/>
      <c r="D301" s="69"/>
      <c r="E301" s="69">
        <v>161</v>
      </c>
      <c r="F301" s="136" t="s">
        <v>102</v>
      </c>
      <c r="G301" s="26"/>
      <c r="H301" s="26"/>
      <c r="I301" s="26"/>
      <c r="J301" s="105">
        <f t="shared" si="179"/>
        <v>0</v>
      </c>
      <c r="K301" s="35">
        <f>'1.03.'!M290</f>
        <v>0</v>
      </c>
      <c r="L301" s="27"/>
      <c r="M301" s="92">
        <f t="shared" si="181"/>
        <v>0</v>
      </c>
      <c r="N301" s="93">
        <f t="shared" si="182"/>
        <v>0</v>
      </c>
      <c r="O301" s="70" t="e">
        <f t="shared" si="183"/>
        <v>#DIV/0!</v>
      </c>
      <c r="P301" s="71">
        <f t="shared" si="170"/>
        <v>0</v>
      </c>
      <c r="Q301" s="35">
        <f t="shared" si="171"/>
        <v>0</v>
      </c>
      <c r="R301" s="72">
        <v>1103859</v>
      </c>
      <c r="S301" s="72">
        <f t="shared" si="172"/>
        <v>0</v>
      </c>
      <c r="T301" s="62">
        <f t="shared" si="185"/>
        <v>0</v>
      </c>
    </row>
    <row r="302" spans="1:20">
      <c r="A302" s="9"/>
      <c r="B302" s="9"/>
      <c r="C302" s="9"/>
      <c r="D302" s="69"/>
      <c r="E302" s="69">
        <v>169</v>
      </c>
      <c r="F302" s="136" t="s">
        <v>103</v>
      </c>
      <c r="G302" s="26"/>
      <c r="H302" s="26"/>
      <c r="I302" s="26"/>
      <c r="J302" s="105">
        <f t="shared" si="179"/>
        <v>0</v>
      </c>
      <c r="K302" s="35">
        <f>'1.03.'!M291</f>
        <v>0</v>
      </c>
      <c r="L302" s="27"/>
      <c r="M302" s="92">
        <f>K302+L302</f>
        <v>0</v>
      </c>
      <c r="N302" s="93">
        <f t="shared" si="182"/>
        <v>0</v>
      </c>
      <c r="O302" s="70" t="e">
        <f t="shared" si="183"/>
        <v>#DIV/0!</v>
      </c>
      <c r="P302" s="71">
        <f t="shared" si="170"/>
        <v>0</v>
      </c>
      <c r="Q302" s="35">
        <f t="shared" si="171"/>
        <v>0</v>
      </c>
      <c r="R302" s="72">
        <v>1103860</v>
      </c>
      <c r="S302" s="72">
        <f t="shared" si="172"/>
        <v>0</v>
      </c>
      <c r="T302" s="62">
        <f t="shared" si="185"/>
        <v>0</v>
      </c>
    </row>
    <row r="303" spans="1:20" ht="25.5" hidden="1">
      <c r="A303" s="100"/>
      <c r="B303" s="15"/>
      <c r="C303" s="57" t="s">
        <v>43</v>
      </c>
      <c r="D303" s="16"/>
      <c r="E303" s="20"/>
      <c r="F303" s="3" t="s">
        <v>44</v>
      </c>
      <c r="G303" s="59">
        <f t="shared" ref="G303:N303" si="186">G304</f>
        <v>56947</v>
      </c>
      <c r="H303" s="59">
        <f t="shared" si="186"/>
        <v>0</v>
      </c>
      <c r="I303" s="59">
        <f t="shared" si="186"/>
        <v>0</v>
      </c>
      <c r="J303" s="29">
        <f t="shared" si="186"/>
        <v>0</v>
      </c>
      <c r="K303" s="35">
        <f>'1.02.'!M290</f>
        <v>0</v>
      </c>
      <c r="L303" s="59"/>
      <c r="M303" s="29">
        <f t="shared" si="186"/>
        <v>0</v>
      </c>
      <c r="N303" s="29">
        <f t="shared" si="186"/>
        <v>0</v>
      </c>
      <c r="O303" s="70"/>
      <c r="P303" s="71">
        <f t="shared" si="170"/>
        <v>0</v>
      </c>
      <c r="Q303" s="35">
        <f t="shared" si="171"/>
        <v>0</v>
      </c>
      <c r="R303" s="72">
        <v>1103861</v>
      </c>
      <c r="S303" s="72">
        <f t="shared" si="172"/>
        <v>56947</v>
      </c>
    </row>
    <row r="304" spans="1:20" hidden="1">
      <c r="A304" s="9"/>
      <c r="B304" s="12"/>
      <c r="C304" s="12"/>
      <c r="D304" s="11" t="s">
        <v>7</v>
      </c>
      <c r="E304" s="97"/>
      <c r="F304" s="4" t="s">
        <v>22</v>
      </c>
      <c r="G304" s="98">
        <f>G305+G306+G307</f>
        <v>56947</v>
      </c>
      <c r="H304" s="98">
        <f t="shared" ref="H304:I304" si="187">H305+H306+H307</f>
        <v>0</v>
      </c>
      <c r="I304" s="98">
        <f t="shared" si="187"/>
        <v>0</v>
      </c>
      <c r="J304" s="32">
        <f>J305+J306+J307</f>
        <v>0</v>
      </c>
      <c r="K304" s="35">
        <f>'1.02.'!M291</f>
        <v>0</v>
      </c>
      <c r="L304" s="32">
        <f t="shared" ref="L304:N304" si="188">L305+L306+L307</f>
        <v>0</v>
      </c>
      <c r="M304" s="32">
        <f t="shared" si="188"/>
        <v>0</v>
      </c>
      <c r="N304" s="32">
        <f t="shared" si="188"/>
        <v>0</v>
      </c>
      <c r="O304" s="68" t="e">
        <f>M304/I304*100</f>
        <v>#DIV/0!</v>
      </c>
      <c r="P304" s="71">
        <f t="shared" si="170"/>
        <v>0</v>
      </c>
      <c r="Q304" s="35">
        <f t="shared" si="171"/>
        <v>0</v>
      </c>
      <c r="R304" s="72">
        <v>1103862</v>
      </c>
      <c r="S304" s="72">
        <f t="shared" si="172"/>
        <v>56947</v>
      </c>
      <c r="T304" s="62">
        <f>G304-J304</f>
        <v>56947</v>
      </c>
    </row>
    <row r="305" spans="1:19" hidden="1">
      <c r="A305" s="9"/>
      <c r="B305" s="13"/>
      <c r="C305" s="13"/>
      <c r="D305" s="14"/>
      <c r="E305" s="20">
        <v>413</v>
      </c>
      <c r="F305" s="106" t="s">
        <v>56</v>
      </c>
      <c r="G305" s="34"/>
      <c r="H305" s="34"/>
      <c r="I305" s="34"/>
      <c r="J305" s="107">
        <f>M305</f>
        <v>0</v>
      </c>
      <c r="K305" s="35">
        <f>'1.02.'!M292</f>
        <v>0</v>
      </c>
      <c r="L305" s="34"/>
      <c r="M305" s="92">
        <f>K305+L305</f>
        <v>0</v>
      </c>
      <c r="N305" s="93">
        <f t="shared" ref="N305:N307" si="189">I305-M305</f>
        <v>0</v>
      </c>
      <c r="O305" s="70"/>
      <c r="P305" s="71">
        <f t="shared" si="170"/>
        <v>0</v>
      </c>
      <c r="Q305" s="35">
        <f t="shared" si="171"/>
        <v>0</v>
      </c>
      <c r="R305" s="72">
        <v>1103863</v>
      </c>
      <c r="S305" s="72">
        <f t="shared" si="172"/>
        <v>0</v>
      </c>
    </row>
    <row r="306" spans="1:19" ht="25.5" hidden="1">
      <c r="A306" s="9"/>
      <c r="B306" s="13"/>
      <c r="C306" s="13"/>
      <c r="D306" s="14"/>
      <c r="E306" s="20">
        <v>414</v>
      </c>
      <c r="F306" s="86" t="s">
        <v>64</v>
      </c>
      <c r="G306" s="37">
        <v>56947</v>
      </c>
      <c r="H306" s="37"/>
      <c r="I306" s="37"/>
      <c r="J306" s="75">
        <f>M306</f>
        <v>0</v>
      </c>
      <c r="K306" s="35">
        <f>'1.02.'!M293</f>
        <v>0</v>
      </c>
      <c r="L306" s="37"/>
      <c r="M306" s="92">
        <f>K306+L306</f>
        <v>0</v>
      </c>
      <c r="N306" s="93">
        <f t="shared" si="189"/>
        <v>0</v>
      </c>
      <c r="O306" s="70"/>
      <c r="P306" s="71">
        <f t="shared" si="170"/>
        <v>0</v>
      </c>
      <c r="Q306" s="35">
        <f t="shared" si="171"/>
        <v>0</v>
      </c>
      <c r="R306" s="72">
        <v>1103864</v>
      </c>
      <c r="S306" s="72">
        <f t="shared" si="172"/>
        <v>56947</v>
      </c>
    </row>
    <row r="307" spans="1:19" ht="25.5" hidden="1">
      <c r="A307" s="100"/>
      <c r="B307" s="15"/>
      <c r="C307" s="15"/>
      <c r="D307" s="16"/>
      <c r="E307" s="20">
        <v>421</v>
      </c>
      <c r="F307" s="3" t="s">
        <v>60</v>
      </c>
      <c r="G307" s="37"/>
      <c r="H307" s="37"/>
      <c r="I307" s="37"/>
      <c r="J307" s="75"/>
      <c r="K307" s="35"/>
      <c r="L307" s="35"/>
      <c r="M307" s="92">
        <f t="shared" ref="M307" si="190">K307+L307</f>
        <v>0</v>
      </c>
      <c r="N307" s="93">
        <f t="shared" si="189"/>
        <v>0</v>
      </c>
      <c r="O307" s="70" t="e">
        <f t="shared" ref="O307" si="191">M307/I307*100</f>
        <v>#DIV/0!</v>
      </c>
      <c r="P307" s="71">
        <f t="shared" si="170"/>
        <v>0</v>
      </c>
      <c r="Q307" s="35">
        <f t="shared" si="171"/>
        <v>0</v>
      </c>
      <c r="R307" s="72">
        <v>1103865</v>
      </c>
      <c r="S307" s="72">
        <f t="shared" si="172"/>
        <v>0</v>
      </c>
    </row>
    <row r="346" spans="6:6">
      <c r="F346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48"/>
  <sheetViews>
    <sheetView view="pageBreakPreview" zoomScaleSheetLayoutView="100" workbookViewId="0">
      <pane xSplit="6" ySplit="4" topLeftCell="G301" activePane="bottomRight" state="frozen"/>
      <selection pane="topRight" activeCell="G1" sqref="G1"/>
      <selection pane="bottomLeft" activeCell="A5" sqref="A5"/>
      <selection pane="bottomRight" activeCell="F11" sqref="F11"/>
    </sheetView>
  </sheetViews>
  <sheetFormatPr defaultRowHeight="12.75"/>
  <cols>
    <col min="1" max="1" width="4.7109375" style="6" customWidth="1"/>
    <col min="2" max="2" width="6.5703125" style="6" bestFit="1" customWidth="1"/>
    <col min="3" max="3" width="4.140625" style="6" customWidth="1"/>
    <col min="4" max="4" width="4.5703125" style="6" customWidth="1"/>
    <col min="5" max="5" width="4.85546875" style="6" customWidth="1"/>
    <col min="6" max="6" width="52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425781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159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8" t="s">
        <v>139</v>
      </c>
      <c r="I4" s="128" t="s">
        <v>140</v>
      </c>
      <c r="J4" s="144"/>
      <c r="K4" s="128" t="s">
        <v>143</v>
      </c>
      <c r="L4" s="128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 t="shared" ref="G5:N5" si="0">G6+G108+G129+G152+G179+G203+G227+G277</f>
        <v>17032809</v>
      </c>
      <c r="H5" s="40">
        <f t="shared" si="0"/>
        <v>4047913.9000000004</v>
      </c>
      <c r="I5" s="40">
        <f t="shared" si="0"/>
        <v>3342750.9</v>
      </c>
      <c r="J5" s="24">
        <f t="shared" si="0"/>
        <v>3896181.57045</v>
      </c>
      <c r="K5" s="24">
        <f t="shared" si="0"/>
        <v>609671.72618</v>
      </c>
      <c r="L5" s="40">
        <f t="shared" si="0"/>
        <v>946222.48404999997</v>
      </c>
      <c r="M5" s="24">
        <f t="shared" si="0"/>
        <v>3307305.0506799994</v>
      </c>
      <c r="N5" s="24">
        <f t="shared" si="0"/>
        <v>35445.849320000008</v>
      </c>
      <c r="O5" s="66">
        <f>M5/I5*100</f>
        <v>98.939620379131426</v>
      </c>
      <c r="P5" s="60">
        <f t="shared" ref="P5:P8" si="1">J5-M5</f>
        <v>588876.5197700006</v>
      </c>
      <c r="Q5" s="29">
        <f t="shared" ref="Q5:Q8" si="2">H5-J5</f>
        <v>151732.32955000037</v>
      </c>
      <c r="R5" s="74">
        <v>1103576</v>
      </c>
      <c r="S5" s="74">
        <f t="shared" ref="S5:S8" si="3">G5-M5</f>
        <v>13725503.94932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G7+G13+G34+G38+G41+G44+G101+G105</f>
        <v>5070963</v>
      </c>
      <c r="H6" s="42">
        <f>H7+H13+H34+H38+H41+H44+H101+H105</f>
        <v>1147960.1000000001</v>
      </c>
      <c r="I6" s="42">
        <f>I7+I13+I34+I38+I41+I44+I101+I105</f>
        <v>1061593.5999999999</v>
      </c>
      <c r="J6" s="29">
        <f>J7+J13+J34+J38+J41+J44+J101+J105</f>
        <v>1070951.26342</v>
      </c>
      <c r="K6" s="29">
        <f>'1.02.'!M6</f>
        <v>305263.96490999998</v>
      </c>
      <c r="L6" s="42">
        <f>L7+L13+L34+L38+L41+L44+L101+L105</f>
        <v>242355.93497999999</v>
      </c>
      <c r="M6" s="29">
        <f>M7+M13+M34+M38+M41+M44+M101+M105</f>
        <v>1055182.9072899998</v>
      </c>
      <c r="N6" s="29">
        <f>N7+N13+N34+N38+N41+N44+N101+N105</f>
        <v>6410.692710000013</v>
      </c>
      <c r="O6" s="66">
        <f t="shared" ref="O6:O69" si="4">M6/I6*100</f>
        <v>99.396125531465145</v>
      </c>
      <c r="P6" s="60">
        <f t="shared" si="1"/>
        <v>15768.356130000204</v>
      </c>
      <c r="Q6" s="29">
        <f t="shared" si="2"/>
        <v>77008.836580000119</v>
      </c>
      <c r="R6" s="74">
        <v>1103577</v>
      </c>
      <c r="S6" s="74">
        <f t="shared" si="3"/>
        <v>4015780.0927100005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445184.5</v>
      </c>
      <c r="I7" s="42">
        <f t="shared" si="5"/>
        <v>444629.5</v>
      </c>
      <c r="J7" s="29">
        <f t="shared" si="5"/>
        <v>444578.31228999997</v>
      </c>
      <c r="K7" s="29">
        <f>'1.02.'!M7</f>
        <v>164988.70772999999</v>
      </c>
      <c r="L7" s="42">
        <f t="shared" si="5"/>
        <v>108713.90608</v>
      </c>
      <c r="M7" s="29">
        <f t="shared" si="5"/>
        <v>444578.31228999997</v>
      </c>
      <c r="N7" s="29">
        <f t="shared" si="5"/>
        <v>51.187710000012885</v>
      </c>
      <c r="O7" s="68">
        <f t="shared" si="4"/>
        <v>99.988487558742719</v>
      </c>
      <c r="P7" s="60">
        <f t="shared" si="1"/>
        <v>0</v>
      </c>
      <c r="Q7" s="29">
        <f t="shared" si="2"/>
        <v>606.18771000002744</v>
      </c>
      <c r="R7" s="74">
        <v>1103578</v>
      </c>
      <c r="S7" s="74">
        <f t="shared" si="3"/>
        <v>1605676.68771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418765</v>
      </c>
      <c r="I8" s="59">
        <f t="shared" si="6"/>
        <v>418765</v>
      </c>
      <c r="J8" s="33">
        <f>J9</f>
        <v>418713.90607999999</v>
      </c>
      <c r="K8" s="29">
        <f>'1.02.'!M8</f>
        <v>150000</v>
      </c>
      <c r="L8" s="29">
        <f t="shared" si="6"/>
        <v>108713.90608</v>
      </c>
      <c r="M8" s="60">
        <f t="shared" si="6"/>
        <v>418713.90607999999</v>
      </c>
      <c r="N8" s="29">
        <f t="shared" si="6"/>
        <v>51.093920000013895</v>
      </c>
      <c r="O8" s="68">
        <f t="shared" si="4"/>
        <v>99.987798903919852</v>
      </c>
      <c r="P8" s="60">
        <f t="shared" si="1"/>
        <v>0</v>
      </c>
      <c r="Q8" s="29">
        <f t="shared" si="2"/>
        <v>51.093920000013895</v>
      </c>
      <c r="R8" s="74">
        <v>1103579</v>
      </c>
      <c r="S8" s="74">
        <f t="shared" si="3"/>
        <v>1596260.0939199999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418765</v>
      </c>
      <c r="I9" s="37">
        <v>418765</v>
      </c>
      <c r="J9" s="75">
        <f>M9</f>
        <v>418713.90607999999</v>
      </c>
      <c r="K9" s="35">
        <f>'1.04.'!M9</f>
        <v>310000</v>
      </c>
      <c r="L9" s="35">
        <v>108713.90608</v>
      </c>
      <c r="M9" s="35">
        <f>K9+L9</f>
        <v>418713.90607999999</v>
      </c>
      <c r="N9" s="35">
        <f>I9-M9</f>
        <v>51.093920000013895</v>
      </c>
      <c r="O9" s="70">
        <f t="shared" si="4"/>
        <v>99.987798903919852</v>
      </c>
      <c r="P9" s="71">
        <f>J9-M9</f>
        <v>0</v>
      </c>
      <c r="Q9" s="35">
        <f>H9-J9</f>
        <v>51.093920000013895</v>
      </c>
      <c r="R9" s="72">
        <v>1103580</v>
      </c>
      <c r="S9" s="72">
        <f>G9-M9</f>
        <v>1596260.0939199999</v>
      </c>
      <c r="T9" s="62">
        <f>G9-J9</f>
        <v>1596260.0939199999</v>
      </c>
    </row>
    <row r="10" spans="1:20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26419.5</v>
      </c>
      <c r="I10" s="59">
        <f t="shared" si="7"/>
        <v>25864.5</v>
      </c>
      <c r="J10" s="33">
        <f>J11+J12</f>
        <v>25864.406210000001</v>
      </c>
      <c r="K10" s="29">
        <f>'1.02.'!M10</f>
        <v>14988.70773</v>
      </c>
      <c r="L10" s="29">
        <f t="shared" si="7"/>
        <v>0</v>
      </c>
      <c r="M10" s="29">
        <f t="shared" si="7"/>
        <v>25864.406210000001</v>
      </c>
      <c r="N10" s="29">
        <f t="shared" si="7"/>
        <v>9.3789999998989515E-2</v>
      </c>
      <c r="O10" s="68">
        <f t="shared" si="4"/>
        <v>99.999637379419667</v>
      </c>
      <c r="P10" s="60">
        <f t="shared" ref="P10:P73" si="8">J10-M10</f>
        <v>0</v>
      </c>
      <c r="Q10" s="29">
        <f t="shared" ref="Q10:Q73" si="9">H10-J10</f>
        <v>555.09378999999899</v>
      </c>
      <c r="R10" s="74">
        <v>1103581</v>
      </c>
      <c r="S10" s="74">
        <f t="shared" ref="S10:S73" si="10">G10-M10</f>
        <v>9416.593789999999</v>
      </c>
      <c r="T10" s="62">
        <f t="shared" ref="T10:T44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'1.04.'!M11</f>
        <v>1190</v>
      </c>
      <c r="L11" s="35"/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'1.04.'!M12</f>
        <v>24674.406210000001</v>
      </c>
      <c r="L12" s="35"/>
      <c r="M12" s="35">
        <f>K12+L12</f>
        <v>24674.406210000001</v>
      </c>
      <c r="N12" s="35">
        <f>I12-M12</f>
        <v>9.3789999998989515E-2</v>
      </c>
      <c r="O12" s="70">
        <f t="shared" si="4"/>
        <v>99.999619890980568</v>
      </c>
      <c r="P12" s="71">
        <f t="shared" si="8"/>
        <v>0</v>
      </c>
      <c r="Q12" s="35">
        <f t="shared" si="9"/>
        <v>9.3789999998989515E-2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51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260651</v>
      </c>
      <c r="H13" s="33">
        <f t="shared" si="12"/>
        <v>104035.9</v>
      </c>
      <c r="I13" s="33">
        <f t="shared" si="12"/>
        <v>98325.7</v>
      </c>
      <c r="J13" s="29">
        <f t="shared" si="12"/>
        <v>103327.95112999999</v>
      </c>
      <c r="K13" s="29">
        <f>'1.02.'!M13</f>
        <v>15275.257180000001</v>
      </c>
      <c r="L13" s="29">
        <f t="shared" si="12"/>
        <v>26190.506789999999</v>
      </c>
      <c r="M13" s="29">
        <f t="shared" si="12"/>
        <v>97602.89499999999</v>
      </c>
      <c r="N13" s="29">
        <f t="shared" si="12"/>
        <v>722.80499999999995</v>
      </c>
      <c r="O13" s="68">
        <f t="shared" si="4"/>
        <v>99.264887003092767</v>
      </c>
      <c r="P13" s="71">
        <f t="shared" si="8"/>
        <v>5725.0561299999972</v>
      </c>
      <c r="Q13" s="35">
        <f t="shared" si="9"/>
        <v>707.94887000000745</v>
      </c>
      <c r="R13" s="72">
        <v>1103584</v>
      </c>
      <c r="S13" s="72">
        <f t="shared" si="10"/>
        <v>163048.10500000001</v>
      </c>
      <c r="T13" s="62">
        <f t="shared" si="11"/>
        <v>157323.04887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SUM(G15:G33)</f>
        <v>260651</v>
      </c>
      <c r="H14" s="59">
        <f t="shared" ref="H14:K14" si="13">SUM(H15:H33)</f>
        <v>104035.9</v>
      </c>
      <c r="I14" s="59">
        <f t="shared" si="13"/>
        <v>98325.7</v>
      </c>
      <c r="J14" s="29">
        <f t="shared" si="13"/>
        <v>103327.95112999999</v>
      </c>
      <c r="K14" s="29">
        <f t="shared" si="13"/>
        <v>71412.38820999999</v>
      </c>
      <c r="L14" s="29">
        <f>SUM(L15:L33)</f>
        <v>26190.506789999999</v>
      </c>
      <c r="M14" s="29">
        <f t="shared" ref="M14:N14" si="14">SUM(M15:M33)</f>
        <v>97602.89499999999</v>
      </c>
      <c r="N14" s="29">
        <f t="shared" si="14"/>
        <v>722.80499999999995</v>
      </c>
      <c r="O14" s="68">
        <f t="shared" si="4"/>
        <v>99.264887003092767</v>
      </c>
      <c r="P14" s="35">
        <f t="shared" si="8"/>
        <v>5725.0561299999972</v>
      </c>
      <c r="Q14" s="35">
        <f t="shared" si="9"/>
        <v>707.94887000000745</v>
      </c>
      <c r="R14" s="72">
        <v>1103585</v>
      </c>
      <c r="S14" s="72">
        <f t="shared" si="10"/>
        <v>163048.10500000001</v>
      </c>
      <c r="T14" s="62">
        <f>G14-J14</f>
        <v>157323.04887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</f>
        <v>120519</v>
      </c>
      <c r="H15" s="26">
        <v>38980</v>
      </c>
      <c r="I15" s="26">
        <v>38980</v>
      </c>
      <c r="J15" s="75">
        <f t="shared" ref="J15:J33" si="15">M15</f>
        <v>38980</v>
      </c>
      <c r="K15" s="35">
        <f>'1.04.'!M15</f>
        <v>30000</v>
      </c>
      <c r="L15" s="27">
        <v>8980</v>
      </c>
      <c r="M15" s="71">
        <f>K15+L15</f>
        <v>38980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81539</v>
      </c>
      <c r="T15" s="62">
        <f t="shared" si="11"/>
        <v>81539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</f>
        <v>24858</v>
      </c>
      <c r="H16" s="26">
        <v>24858</v>
      </c>
      <c r="I16" s="26">
        <v>24858</v>
      </c>
      <c r="J16" s="75">
        <f t="shared" si="15"/>
        <v>24154.877</v>
      </c>
      <c r="K16" s="35">
        <f>'1.04.'!M16</f>
        <v>15907.550999999999</v>
      </c>
      <c r="L16" s="27">
        <v>8247.3259999999991</v>
      </c>
      <c r="M16" s="71">
        <f t="shared" ref="M16:M33" si="16">K16+L16</f>
        <v>24154.877</v>
      </c>
      <c r="N16" s="35">
        <f t="shared" ref="N16:N33" si="17">I16-M16</f>
        <v>703.12299999999959</v>
      </c>
      <c r="O16" s="70">
        <f t="shared" si="4"/>
        <v>97.171441789363584</v>
      </c>
      <c r="P16" s="71">
        <f t="shared" si="8"/>
        <v>0</v>
      </c>
      <c r="Q16" s="35">
        <f t="shared" si="9"/>
        <v>703.12299999999959</v>
      </c>
      <c r="R16" s="72">
        <v>1103587</v>
      </c>
      <c r="S16" s="72">
        <f t="shared" si="10"/>
        <v>703.12299999999959</v>
      </c>
      <c r="T16" s="62">
        <f t="shared" si="11"/>
        <v>703.12299999999959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6101.2</v>
      </c>
      <c r="I17" s="26">
        <v>6101.2</v>
      </c>
      <c r="J17" s="75">
        <f t="shared" si="15"/>
        <v>6101.1139999999996</v>
      </c>
      <c r="K17" s="35">
        <f>'1.04.'!M17</f>
        <v>6101.1139999999996</v>
      </c>
      <c r="L17" s="27"/>
      <c r="M17" s="71">
        <f t="shared" si="16"/>
        <v>6101.1139999999996</v>
      </c>
      <c r="N17" s="35">
        <f t="shared" si="17"/>
        <v>8.6000000000240107E-2</v>
      </c>
      <c r="O17" s="70">
        <f t="shared" si="4"/>
        <v>99.998590441224678</v>
      </c>
      <c r="P17" s="71">
        <f t="shared" si="8"/>
        <v>0</v>
      </c>
      <c r="Q17" s="35">
        <f t="shared" si="9"/>
        <v>8.6000000000240107E-2</v>
      </c>
      <c r="R17" s="72">
        <v>1103588</v>
      </c>
      <c r="S17" s="72">
        <f t="shared" si="10"/>
        <v>14154.886</v>
      </c>
      <c r="T17" s="62">
        <f t="shared" si="11"/>
        <v>14154.886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</f>
        <v>4560</v>
      </c>
      <c r="H18" s="26">
        <v>1710</v>
      </c>
      <c r="I18" s="26">
        <v>1710</v>
      </c>
      <c r="J18" s="75">
        <f t="shared" si="15"/>
        <v>1710</v>
      </c>
      <c r="K18" s="35">
        <f>'1.04.'!M18</f>
        <v>1230.6979999999999</v>
      </c>
      <c r="L18" s="27">
        <v>479.30200000000002</v>
      </c>
      <c r="M18" s="71">
        <f>K18+L18</f>
        <v>1710</v>
      </c>
      <c r="N18" s="35">
        <f>I18-M18</f>
        <v>0</v>
      </c>
      <c r="O18" s="70">
        <f>M18/I18*100</f>
        <v>100</v>
      </c>
      <c r="P18" s="71">
        <f t="shared" si="8"/>
        <v>0</v>
      </c>
      <c r="Q18" s="35">
        <f t="shared" si="9"/>
        <v>0</v>
      </c>
      <c r="R18" s="72">
        <v>1103589</v>
      </c>
      <c r="S18" s="72">
        <f t="shared" si="10"/>
        <v>2850</v>
      </c>
      <c r="T18" s="62">
        <f t="shared" si="11"/>
        <v>2850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3264</v>
      </c>
      <c r="I19" s="26">
        <v>3264</v>
      </c>
      <c r="J19" s="75">
        <f t="shared" si="15"/>
        <v>3264</v>
      </c>
      <c r="K19" s="35">
        <f>'1.04.'!M19</f>
        <v>2736</v>
      </c>
      <c r="L19" s="27">
        <v>528</v>
      </c>
      <c r="M19" s="71">
        <f t="shared" si="16"/>
        <v>3264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5067</v>
      </c>
      <c r="T19" s="62">
        <f t="shared" si="11"/>
        <v>5067</v>
      </c>
    </row>
    <row r="20" spans="1:20" s="73" customFormat="1" ht="25.5">
      <c r="A20" s="9"/>
      <c r="B20" s="9"/>
      <c r="C20" s="9"/>
      <c r="D20" s="69"/>
      <c r="E20" s="69">
        <v>122</v>
      </c>
      <c r="F20" s="136" t="s">
        <v>91</v>
      </c>
      <c r="G20" s="26">
        <f>6943-520</f>
        <v>6423</v>
      </c>
      <c r="H20" s="26">
        <v>2323</v>
      </c>
      <c r="I20" s="26">
        <v>2323</v>
      </c>
      <c r="J20" s="75">
        <f t="shared" si="15"/>
        <v>2319.431</v>
      </c>
      <c r="K20" s="35">
        <f>'1.04.'!M20</f>
        <v>1664.9369999999999</v>
      </c>
      <c r="L20" s="27">
        <v>654.49400000000003</v>
      </c>
      <c r="M20" s="71">
        <f t="shared" si="16"/>
        <v>2319.431</v>
      </c>
      <c r="N20" s="35">
        <f t="shared" si="17"/>
        <v>3.56899999999996</v>
      </c>
      <c r="O20" s="70">
        <f t="shared" si="4"/>
        <v>99.84636246233319</v>
      </c>
      <c r="P20" s="71">
        <f t="shared" si="8"/>
        <v>0</v>
      </c>
      <c r="Q20" s="35">
        <f t="shared" si="9"/>
        <v>3.56899999999996</v>
      </c>
      <c r="R20" s="72">
        <v>1103591</v>
      </c>
      <c r="S20" s="72">
        <f t="shared" si="10"/>
        <v>4103.5689999999995</v>
      </c>
      <c r="T20" s="62">
        <f t="shared" si="11"/>
        <v>4103.5689999999995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5"/>
        <v>0</v>
      </c>
      <c r="K21" s="35">
        <f>'1.04.'!M21</f>
        <v>0</v>
      </c>
      <c r="L21" s="27"/>
      <c r="M21" s="71">
        <f t="shared" si="16"/>
        <v>0</v>
      </c>
      <c r="N21" s="35">
        <f t="shared" si="17"/>
        <v>0</v>
      </c>
      <c r="O21" s="70" t="e">
        <f t="shared" si="4"/>
        <v>#DIV/0!</v>
      </c>
      <c r="P21" s="71">
        <f t="shared" si="8"/>
        <v>0</v>
      </c>
      <c r="Q21" s="35">
        <f t="shared" si="9"/>
        <v>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</f>
        <v>3966</v>
      </c>
      <c r="H22" s="26">
        <v>1520</v>
      </c>
      <c r="I22" s="26">
        <v>1520</v>
      </c>
      <c r="J22" s="75">
        <f t="shared" si="15"/>
        <v>1519.0059999999999</v>
      </c>
      <c r="K22" s="35">
        <f>'1.04.'!M22</f>
        <v>1083.6369999999999</v>
      </c>
      <c r="L22" s="27">
        <v>435.36900000000003</v>
      </c>
      <c r="M22" s="71">
        <f t="shared" si="16"/>
        <v>1519.0059999999999</v>
      </c>
      <c r="N22" s="35">
        <f t="shared" si="17"/>
        <v>0.99400000000014188</v>
      </c>
      <c r="O22" s="70">
        <f t="shared" si="4"/>
        <v>99.934605263157877</v>
      </c>
      <c r="P22" s="71">
        <f t="shared" si="8"/>
        <v>0</v>
      </c>
      <c r="Q22" s="35">
        <f t="shared" si="9"/>
        <v>0.99400000000014188</v>
      </c>
      <c r="R22" s="72">
        <v>1103593</v>
      </c>
      <c r="S22" s="72">
        <f t="shared" si="10"/>
        <v>2446.9940000000001</v>
      </c>
      <c r="T22" s="62">
        <f t="shared" si="11"/>
        <v>2446.9940000000001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6018</v>
      </c>
      <c r="I23" s="26">
        <v>6018</v>
      </c>
      <c r="J23" s="75">
        <f t="shared" si="15"/>
        <v>6018</v>
      </c>
      <c r="K23" s="35">
        <f>'1.04.'!M23</f>
        <v>3600</v>
      </c>
      <c r="L23" s="27">
        <v>2418</v>
      </c>
      <c r="M23" s="71">
        <f t="shared" si="16"/>
        <v>6018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13315</v>
      </c>
      <c r="T23" s="62">
        <f t="shared" si="11"/>
        <v>13315</v>
      </c>
    </row>
    <row r="24" spans="1:20" s="73" customFormat="1" ht="25.5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749</v>
      </c>
      <c r="I24" s="26">
        <v>749</v>
      </c>
      <c r="J24" s="75">
        <f t="shared" si="15"/>
        <v>749</v>
      </c>
      <c r="K24" s="35">
        <f>'1.04.'!M24</f>
        <v>405</v>
      </c>
      <c r="L24" s="27">
        <v>344</v>
      </c>
      <c r="M24" s="71">
        <f t="shared" si="16"/>
        <v>749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2380</v>
      </c>
      <c r="T24" s="62">
        <f t="shared" si="11"/>
        <v>2380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'1.04.'!M25</f>
        <v>0</v>
      </c>
      <c r="L25" s="27"/>
      <c r="M25" s="71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'1.04.'!M26</f>
        <v>0</v>
      </c>
      <c r="L26" s="27">
        <v>2074.99856</v>
      </c>
      <c r="M26" s="71">
        <f t="shared" si="16"/>
        <v>2074.99856</v>
      </c>
      <c r="N26" s="35">
        <f t="shared" si="17"/>
        <v>1.4400000000023283E-3</v>
      </c>
      <c r="O26" s="70">
        <f t="shared" si="4"/>
        <v>99.999930602409634</v>
      </c>
      <c r="P26" s="71">
        <f t="shared" si="8"/>
        <v>0</v>
      </c>
      <c r="Q26" s="35">
        <f t="shared" si="9"/>
        <v>1.4400000000023283E-3</v>
      </c>
      <c r="R26" s="72">
        <v>1103597</v>
      </c>
      <c r="S26" s="72">
        <f t="shared" si="10"/>
        <v>1.4400000000023283E-3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154.19999999999999</v>
      </c>
      <c r="I27" s="26">
        <v>154.19999999999999</v>
      </c>
      <c r="J27" s="75">
        <f>M27</f>
        <v>154.1404</v>
      </c>
      <c r="K27" s="35">
        <f>'1.04.'!M27</f>
        <v>33.695999999999998</v>
      </c>
      <c r="L27" s="27">
        <v>120.4444</v>
      </c>
      <c r="M27" s="35">
        <f t="shared" si="16"/>
        <v>154.1404</v>
      </c>
      <c r="N27" s="35">
        <f t="shared" si="17"/>
        <v>5.9599999999988995E-2</v>
      </c>
      <c r="O27" s="70">
        <f t="shared" si="4"/>
        <v>99.961348897535672</v>
      </c>
      <c r="P27" s="71">
        <f t="shared" si="8"/>
        <v>0</v>
      </c>
      <c r="Q27" s="35">
        <f t="shared" si="9"/>
        <v>5.9599999999988995E-2</v>
      </c>
      <c r="R27" s="72">
        <v>1103598</v>
      </c>
      <c r="S27" s="72">
        <f t="shared" si="10"/>
        <v>4015.8595999999998</v>
      </c>
      <c r="T27" s="62">
        <f t="shared" si="11"/>
        <v>4015.8595999999998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5396</v>
      </c>
      <c r="I28" s="26">
        <v>5396</v>
      </c>
      <c r="J28" s="75">
        <f t="shared" si="15"/>
        <v>5395.9698200000003</v>
      </c>
      <c r="K28" s="35">
        <f>'1.04.'!M28</f>
        <v>4166.8387899999998</v>
      </c>
      <c r="L28" s="27">
        <v>1229.13103</v>
      </c>
      <c r="M28" s="35">
        <f t="shared" si="16"/>
        <v>5395.9698200000003</v>
      </c>
      <c r="N28" s="35">
        <f t="shared" si="17"/>
        <v>3.0179999999745633E-2</v>
      </c>
      <c r="O28" s="70">
        <f t="shared" si="4"/>
        <v>99.999440696812457</v>
      </c>
      <c r="P28" s="71">
        <f t="shared" si="8"/>
        <v>0</v>
      </c>
      <c r="Q28" s="35">
        <f t="shared" si="9"/>
        <v>3.0179999999745633E-2</v>
      </c>
      <c r="R28" s="72">
        <v>1103599</v>
      </c>
      <c r="S28" s="72">
        <f t="shared" si="10"/>
        <v>5337.0301799999997</v>
      </c>
      <c r="T28" s="62">
        <f t="shared" si="11"/>
        <v>5337.0301799999997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>
        <v>5416.5</v>
      </c>
      <c r="I29" s="26">
        <v>1176</v>
      </c>
      <c r="J29" s="75">
        <v>5416.4143599999998</v>
      </c>
      <c r="K29" s="35">
        <f>'1.04.'!M29</f>
        <v>774.08286999999996</v>
      </c>
      <c r="L29" s="27">
        <v>399.40224999999998</v>
      </c>
      <c r="M29" s="71">
        <f t="shared" si="16"/>
        <v>1173.4851199999998</v>
      </c>
      <c r="N29" s="35">
        <f t="shared" si="17"/>
        <v>2.5148800000001756</v>
      </c>
      <c r="O29" s="70">
        <f t="shared" si="4"/>
        <v>99.786149659863938</v>
      </c>
      <c r="P29" s="71">
        <f t="shared" si="8"/>
        <v>4242.9292399999995</v>
      </c>
      <c r="Q29" s="35">
        <f t="shared" si="9"/>
        <v>8.5640000000239525E-2</v>
      </c>
      <c r="R29" s="72">
        <v>1103600</v>
      </c>
      <c r="S29" s="72">
        <f t="shared" si="10"/>
        <v>6128.5148800000006</v>
      </c>
      <c r="T29" s="62">
        <f t="shared" si="11"/>
        <v>1885.5856400000002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244</v>
      </c>
      <c r="J30" s="75">
        <v>730</v>
      </c>
      <c r="K30" s="35">
        <f>'1.04.'!M30</f>
        <v>182.499</v>
      </c>
      <c r="L30" s="27">
        <v>60.832999999999998</v>
      </c>
      <c r="M30" s="71">
        <f t="shared" si="16"/>
        <v>243.33199999999999</v>
      </c>
      <c r="N30" s="35">
        <f t="shared" si="17"/>
        <v>0.66800000000000637</v>
      </c>
      <c r="O30" s="70">
        <f t="shared" si="4"/>
        <v>99.726229508196724</v>
      </c>
      <c r="P30" s="71">
        <f t="shared" si="8"/>
        <v>486.66800000000001</v>
      </c>
      <c r="Q30" s="35">
        <f t="shared" si="9"/>
        <v>0</v>
      </c>
      <c r="R30" s="72">
        <v>1103601</v>
      </c>
      <c r="S30" s="72">
        <f t="shared" si="10"/>
        <v>486.66800000000001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</f>
        <v>3099</v>
      </c>
      <c r="H31" s="26">
        <v>2291</v>
      </c>
      <c r="I31" s="26">
        <v>1307.3</v>
      </c>
      <c r="J31" s="35">
        <v>2290.9999899999998</v>
      </c>
      <c r="K31" s="35">
        <f>'1.04.'!M31</f>
        <v>1266.27055</v>
      </c>
      <c r="L31" s="27">
        <v>29.27055</v>
      </c>
      <c r="M31" s="71">
        <f t="shared" si="16"/>
        <v>1295.5410999999999</v>
      </c>
      <c r="N31" s="35">
        <f t="shared" si="17"/>
        <v>11.75890000000004</v>
      </c>
      <c r="O31" s="70">
        <f t="shared" si="4"/>
        <v>99.100520156046812</v>
      </c>
      <c r="P31" s="71">
        <f t="shared" si="8"/>
        <v>995.45888999999988</v>
      </c>
      <c r="Q31" s="35">
        <f t="shared" si="9"/>
        <v>1.0000000202126103E-5</v>
      </c>
      <c r="R31" s="72">
        <v>1103602</v>
      </c>
      <c r="S31" s="72">
        <f t="shared" si="10"/>
        <v>1803.4589000000001</v>
      </c>
      <c r="T31" s="62">
        <f t="shared" si="11"/>
        <v>808.0000100000002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</f>
        <v>21104</v>
      </c>
      <c r="H32" s="26">
        <v>2450</v>
      </c>
      <c r="I32" s="26">
        <v>2450</v>
      </c>
      <c r="J32" s="75">
        <f t="shared" si="15"/>
        <v>2450</v>
      </c>
      <c r="K32" s="35">
        <f>'1.04.'!M32</f>
        <v>2260.0639999999999</v>
      </c>
      <c r="L32" s="27">
        <v>189.93600000000001</v>
      </c>
      <c r="M32" s="71">
        <f t="shared" si="16"/>
        <v>2450</v>
      </c>
      <c r="N32" s="35">
        <f t="shared" si="17"/>
        <v>0</v>
      </c>
      <c r="O32" s="70">
        <f t="shared" si="4"/>
        <v>100</v>
      </c>
      <c r="P32" s="71">
        <f t="shared" si="8"/>
        <v>0</v>
      </c>
      <c r="Q32" s="35">
        <f t="shared" si="9"/>
        <v>0</v>
      </c>
      <c r="R32" s="72">
        <v>1103603</v>
      </c>
      <c r="S32" s="72">
        <f t="shared" si="10"/>
        <v>18654</v>
      </c>
      <c r="T32" s="62">
        <f t="shared" si="11"/>
        <v>18654</v>
      </c>
    </row>
    <row r="33" spans="1:20" s="73" customFormat="1">
      <c r="A33" s="9"/>
      <c r="B33" s="9"/>
      <c r="C33" s="9"/>
      <c r="D33" s="69"/>
      <c r="E33" s="69">
        <v>169</v>
      </c>
      <c r="F33" s="136" t="s">
        <v>103</v>
      </c>
      <c r="G33" s="26"/>
      <c r="H33" s="26"/>
      <c r="I33" s="26"/>
      <c r="J33" s="75">
        <f t="shared" si="15"/>
        <v>0</v>
      </c>
      <c r="K33" s="35">
        <f>'1.04.'!M33</f>
        <v>0</v>
      </c>
      <c r="L33" s="27"/>
      <c r="M33" s="71">
        <f t="shared" si="16"/>
        <v>0</v>
      </c>
      <c r="N33" s="35">
        <f t="shared" si="17"/>
        <v>0</v>
      </c>
      <c r="O33" s="70" t="e">
        <f t="shared" si="4"/>
        <v>#DIV/0!</v>
      </c>
      <c r="P33" s="71">
        <f t="shared" si="8"/>
        <v>0</v>
      </c>
      <c r="Q33" s="35">
        <f t="shared" si="9"/>
        <v>0</v>
      </c>
      <c r="R33" s="72">
        <v>1103604</v>
      </c>
      <c r="S33" s="72">
        <f t="shared" si="10"/>
        <v>0</v>
      </c>
      <c r="T33" s="62">
        <f t="shared" si="11"/>
        <v>0</v>
      </c>
    </row>
    <row r="34" spans="1:20" hidden="1">
      <c r="A34" s="9"/>
      <c r="B34" s="9"/>
      <c r="C34" s="8" t="s">
        <v>16</v>
      </c>
      <c r="D34" s="69"/>
      <c r="E34" s="69"/>
      <c r="F34" s="77" t="s">
        <v>18</v>
      </c>
      <c r="G34" s="23">
        <f>G35+G36+G37</f>
        <v>0</v>
      </c>
      <c r="H34" s="23">
        <f t="shared" ref="H34:M34" si="18">H35+H36+H37</f>
        <v>0</v>
      </c>
      <c r="I34" s="23">
        <f t="shared" si="18"/>
        <v>0</v>
      </c>
      <c r="J34" s="23">
        <f t="shared" si="18"/>
        <v>0</v>
      </c>
      <c r="K34" s="35">
        <f>'1.04.'!M34</f>
        <v>0</v>
      </c>
      <c r="L34" s="24">
        <f t="shared" si="18"/>
        <v>0</v>
      </c>
      <c r="M34" s="38">
        <f t="shared" si="18"/>
        <v>0</v>
      </c>
      <c r="N34" s="24">
        <f>N35+N36+N37</f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1103605</v>
      </c>
      <c r="S34" s="72">
        <f t="shared" si="10"/>
        <v>0</v>
      </c>
      <c r="T34" s="62">
        <f t="shared" si="11"/>
        <v>0</v>
      </c>
    </row>
    <row r="35" spans="1:20" hidden="1">
      <c r="A35" s="9"/>
      <c r="B35" s="9"/>
      <c r="C35" s="8"/>
      <c r="D35" s="69"/>
      <c r="E35" s="69">
        <v>413</v>
      </c>
      <c r="F35" s="78" t="s">
        <v>17</v>
      </c>
      <c r="G35" s="26"/>
      <c r="H35" s="26"/>
      <c r="I35" s="26"/>
      <c r="J35" s="105"/>
      <c r="K35" s="35">
        <f>'1.04.'!M35</f>
        <v>0</v>
      </c>
      <c r="L35" s="27"/>
      <c r="M35" s="71">
        <f t="shared" ref="M35:M37" si="19">K35+L35</f>
        <v>0</v>
      </c>
      <c r="N35" s="27"/>
      <c r="O35" s="70" t="e">
        <f t="shared" si="4"/>
        <v>#DIV/0!</v>
      </c>
      <c r="P35" s="71">
        <f t="shared" si="8"/>
        <v>0</v>
      </c>
      <c r="Q35" s="35">
        <f t="shared" si="9"/>
        <v>0</v>
      </c>
      <c r="R35" s="72">
        <v>1103606</v>
      </c>
      <c r="S35" s="72">
        <f t="shared" si="10"/>
        <v>0</v>
      </c>
      <c r="T35" s="62">
        <f t="shared" si="11"/>
        <v>0</v>
      </c>
    </row>
    <row r="36" spans="1:20" ht="25.5" hidden="1">
      <c r="A36" s="9"/>
      <c r="B36" s="9"/>
      <c r="C36" s="9"/>
      <c r="D36" s="69"/>
      <c r="E36" s="69">
        <v>414</v>
      </c>
      <c r="F36" s="86" t="s">
        <v>64</v>
      </c>
      <c r="G36" s="26"/>
      <c r="H36" s="26"/>
      <c r="I36" s="26"/>
      <c r="J36" s="105">
        <f>M36</f>
        <v>0</v>
      </c>
      <c r="K36" s="35">
        <f>'1.04.'!M36</f>
        <v>0</v>
      </c>
      <c r="L36" s="27"/>
      <c r="M36" s="71">
        <f t="shared" si="19"/>
        <v>0</v>
      </c>
      <c r="N36" s="35">
        <f t="shared" ref="N36:N37" si="20">I36-M36</f>
        <v>0</v>
      </c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1103607</v>
      </c>
      <c r="S36" s="72">
        <f t="shared" si="10"/>
        <v>0</v>
      </c>
      <c r="T36" s="62">
        <f t="shared" si="11"/>
        <v>0</v>
      </c>
    </row>
    <row r="37" spans="1:20" hidden="1">
      <c r="A37" s="9"/>
      <c r="B37" s="9"/>
      <c r="C37" s="9"/>
      <c r="D37" s="69"/>
      <c r="E37" s="69">
        <v>419</v>
      </c>
      <c r="F37" s="86" t="s">
        <v>57</v>
      </c>
      <c r="G37" s="26"/>
      <c r="H37" s="26"/>
      <c r="I37" s="26"/>
      <c r="J37" s="105">
        <f>M37</f>
        <v>0</v>
      </c>
      <c r="K37" s="35">
        <f>'1.04.'!M37</f>
        <v>0</v>
      </c>
      <c r="L37" s="27"/>
      <c r="M37" s="71">
        <f t="shared" si="19"/>
        <v>0</v>
      </c>
      <c r="N37" s="35">
        <f t="shared" si="20"/>
        <v>0</v>
      </c>
      <c r="O37" s="70" t="e">
        <f t="shared" si="4"/>
        <v>#DIV/0!</v>
      </c>
      <c r="P37" s="71">
        <f t="shared" si="8"/>
        <v>0</v>
      </c>
      <c r="Q37" s="35">
        <f t="shared" si="9"/>
        <v>0</v>
      </c>
      <c r="R37" s="72">
        <v>1103608</v>
      </c>
      <c r="S37" s="72">
        <f t="shared" si="10"/>
        <v>0</v>
      </c>
    </row>
    <row r="38" spans="1:20" ht="25.5">
      <c r="A38" s="9"/>
      <c r="B38" s="9"/>
      <c r="C38" s="8" t="s">
        <v>15</v>
      </c>
      <c r="D38" s="21"/>
      <c r="E38" s="21"/>
      <c r="F38" s="120" t="s">
        <v>106</v>
      </c>
      <c r="G38" s="59">
        <f t="shared" ref="G38:N38" si="21">G39</f>
        <v>10400</v>
      </c>
      <c r="H38" s="59">
        <f t="shared" si="21"/>
        <v>0</v>
      </c>
      <c r="I38" s="59">
        <f>I39</f>
        <v>0</v>
      </c>
      <c r="J38" s="33">
        <f t="shared" si="21"/>
        <v>0</v>
      </c>
      <c r="K38" s="35">
        <f>'1.02.'!M38</f>
        <v>0</v>
      </c>
      <c r="L38" s="29">
        <f t="shared" si="21"/>
        <v>0</v>
      </c>
      <c r="M38" s="29">
        <f t="shared" si="21"/>
        <v>0</v>
      </c>
      <c r="N38" s="29">
        <f t="shared" si="21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1103609</v>
      </c>
      <c r="S38" s="72">
        <f t="shared" si="10"/>
        <v>10400</v>
      </c>
      <c r="T38" s="62">
        <f t="shared" si="11"/>
        <v>10400</v>
      </c>
    </row>
    <row r="39" spans="1:20">
      <c r="A39" s="9"/>
      <c r="B39" s="9"/>
      <c r="C39" s="8"/>
      <c r="D39" s="54" t="s">
        <v>35</v>
      </c>
      <c r="E39" s="69"/>
      <c r="F39" s="122"/>
      <c r="G39" s="37">
        <f>G40</f>
        <v>10400</v>
      </c>
      <c r="H39" s="37">
        <f>H40</f>
        <v>0</v>
      </c>
      <c r="I39" s="37">
        <f>I40</f>
        <v>0</v>
      </c>
      <c r="J39" s="75">
        <f>J40</f>
        <v>0</v>
      </c>
      <c r="K39" s="35">
        <f>'1.02.'!M39</f>
        <v>0</v>
      </c>
      <c r="L39" s="35"/>
      <c r="M39" s="71">
        <f>M40</f>
        <v>0</v>
      </c>
      <c r="N39" s="35">
        <f>N40</f>
        <v>0</v>
      </c>
      <c r="O39" s="70" t="e">
        <f t="shared" si="4"/>
        <v>#DIV/0!</v>
      </c>
      <c r="P39" s="71">
        <f t="shared" si="8"/>
        <v>0</v>
      </c>
      <c r="Q39" s="35">
        <f t="shared" si="9"/>
        <v>0</v>
      </c>
      <c r="R39" s="72">
        <v>1103610</v>
      </c>
      <c r="S39" s="72">
        <f t="shared" si="10"/>
        <v>10400</v>
      </c>
      <c r="T39" s="62">
        <f t="shared" si="11"/>
        <v>10400</v>
      </c>
    </row>
    <row r="40" spans="1:20" ht="25.5">
      <c r="A40" s="9"/>
      <c r="B40" s="9"/>
      <c r="C40" s="9"/>
      <c r="D40" s="69"/>
      <c r="E40" s="69">
        <v>155</v>
      </c>
      <c r="F40" s="117" t="s">
        <v>107</v>
      </c>
      <c r="G40" s="37">
        <v>10400</v>
      </c>
      <c r="H40" s="37">
        <v>0</v>
      </c>
      <c r="I40" s="37">
        <v>0</v>
      </c>
      <c r="J40" s="75">
        <f>M40</f>
        <v>0</v>
      </c>
      <c r="K40" s="35">
        <f>'1.02.'!M40</f>
        <v>0</v>
      </c>
      <c r="L40" s="35"/>
      <c r="M40" s="71">
        <f t="shared" ref="M40" si="22">K40+L40</f>
        <v>0</v>
      </c>
      <c r="N40" s="35">
        <f t="shared" ref="N40" si="23">I40-M40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0</v>
      </c>
      <c r="R40" s="72">
        <v>1103611</v>
      </c>
      <c r="S40" s="72">
        <f t="shared" si="10"/>
        <v>10400</v>
      </c>
      <c r="T40" s="62">
        <f t="shared" si="11"/>
        <v>10400</v>
      </c>
    </row>
    <row r="41" spans="1:20" ht="51">
      <c r="A41" s="118"/>
      <c r="B41" s="118"/>
      <c r="C41" s="119" t="s">
        <v>61</v>
      </c>
      <c r="D41" s="116"/>
      <c r="E41" s="116"/>
      <c r="F41" s="120" t="s">
        <v>62</v>
      </c>
      <c r="G41" s="37">
        <f t="shared" ref="G41:J42" si="24">G42</f>
        <v>1064315</v>
      </c>
      <c r="H41" s="37">
        <f t="shared" si="24"/>
        <v>5636.7</v>
      </c>
      <c r="I41" s="37">
        <f t="shared" si="24"/>
        <v>5636.7</v>
      </c>
      <c r="J41" s="75">
        <f t="shared" si="24"/>
        <v>0</v>
      </c>
      <c r="K41" s="35">
        <f>'1.02.'!M41</f>
        <v>0</v>
      </c>
      <c r="L41" s="35"/>
      <c r="M41" s="71">
        <f t="shared" ref="M41:N42" si="25">M42</f>
        <v>0</v>
      </c>
      <c r="N41" s="35">
        <f t="shared" si="25"/>
        <v>5636.7</v>
      </c>
      <c r="O41" s="70">
        <f t="shared" si="4"/>
        <v>0</v>
      </c>
      <c r="P41" s="71">
        <f t="shared" si="8"/>
        <v>0</v>
      </c>
      <c r="Q41" s="35">
        <f t="shared" si="9"/>
        <v>5636.7</v>
      </c>
      <c r="R41" s="72">
        <v>1103612</v>
      </c>
      <c r="S41" s="72">
        <f t="shared" si="10"/>
        <v>1064315</v>
      </c>
    </row>
    <row r="42" spans="1:20">
      <c r="A42" s="118"/>
      <c r="B42" s="118"/>
      <c r="C42" s="116"/>
      <c r="D42" s="121" t="s">
        <v>35</v>
      </c>
      <c r="E42" s="118"/>
      <c r="F42" s="122"/>
      <c r="G42" s="37">
        <f t="shared" si="24"/>
        <v>1064315</v>
      </c>
      <c r="H42" s="37">
        <f t="shared" si="24"/>
        <v>5636.7</v>
      </c>
      <c r="I42" s="37">
        <f t="shared" si="24"/>
        <v>5636.7</v>
      </c>
      <c r="J42" s="75">
        <f t="shared" si="24"/>
        <v>0</v>
      </c>
      <c r="K42" s="35">
        <f>'1.02.'!M42</f>
        <v>0</v>
      </c>
      <c r="L42" s="35"/>
      <c r="M42" s="71">
        <f t="shared" si="25"/>
        <v>0</v>
      </c>
      <c r="N42" s="35">
        <f t="shared" si="25"/>
        <v>5636.7</v>
      </c>
      <c r="O42" s="70">
        <f t="shared" si="4"/>
        <v>0</v>
      </c>
      <c r="P42" s="71">
        <f t="shared" si="8"/>
        <v>0</v>
      </c>
      <c r="Q42" s="35">
        <f t="shared" si="9"/>
        <v>5636.7</v>
      </c>
      <c r="R42" s="72">
        <v>1103613</v>
      </c>
      <c r="S42" s="72">
        <f t="shared" si="10"/>
        <v>1064315</v>
      </c>
    </row>
    <row r="43" spans="1:20" ht="25.5">
      <c r="A43" s="118"/>
      <c r="B43" s="118"/>
      <c r="C43" s="118"/>
      <c r="D43" s="118"/>
      <c r="E43" s="118">
        <v>361</v>
      </c>
      <c r="F43" s="117" t="s">
        <v>63</v>
      </c>
      <c r="G43" s="37">
        <v>1064315</v>
      </c>
      <c r="H43" s="37">
        <v>5636.7</v>
      </c>
      <c r="I43" s="37">
        <v>5636.7</v>
      </c>
      <c r="J43" s="75">
        <f>M43</f>
        <v>0</v>
      </c>
      <c r="K43" s="35">
        <f>'1.02.'!M43</f>
        <v>0</v>
      </c>
      <c r="L43" s="35"/>
      <c r="M43" s="71">
        <f t="shared" ref="M43" si="26">K43+L43</f>
        <v>0</v>
      </c>
      <c r="N43" s="35">
        <f t="shared" ref="N43" si="27">I43-M43</f>
        <v>5636.7</v>
      </c>
      <c r="O43" s="70">
        <f t="shared" si="4"/>
        <v>0</v>
      </c>
      <c r="P43" s="71">
        <f t="shared" si="8"/>
        <v>0</v>
      </c>
      <c r="Q43" s="35">
        <f t="shared" si="9"/>
        <v>5636.7</v>
      </c>
      <c r="R43" s="72">
        <v>1103614</v>
      </c>
      <c r="S43" s="72">
        <f t="shared" si="10"/>
        <v>1064315</v>
      </c>
    </row>
    <row r="44" spans="1:20" s="73" customFormat="1" ht="25.5">
      <c r="A44" s="8"/>
      <c r="B44" s="8"/>
      <c r="C44" s="8" t="s">
        <v>21</v>
      </c>
      <c r="D44" s="10"/>
      <c r="E44" s="10"/>
      <c r="F44" s="137" t="s">
        <v>108</v>
      </c>
      <c r="G44" s="81">
        <f>G45</f>
        <v>1464726</v>
      </c>
      <c r="H44" s="81">
        <f t="shared" ref="H44:N45" si="28">H45</f>
        <v>579713</v>
      </c>
      <c r="I44" s="81">
        <f t="shared" si="28"/>
        <v>509655</v>
      </c>
      <c r="J44" s="81">
        <f t="shared" si="28"/>
        <v>509655</v>
      </c>
      <c r="K44" s="29">
        <f>'1.02.'!M44</f>
        <v>125000</v>
      </c>
      <c r="L44" s="81">
        <f t="shared" si="28"/>
        <v>106389</v>
      </c>
      <c r="M44" s="81">
        <f t="shared" si="28"/>
        <v>509655</v>
      </c>
      <c r="N44" s="81">
        <f t="shared" si="28"/>
        <v>0</v>
      </c>
      <c r="O44" s="68">
        <f t="shared" si="4"/>
        <v>100</v>
      </c>
      <c r="P44" s="71">
        <f t="shared" si="8"/>
        <v>0</v>
      </c>
      <c r="Q44" s="35">
        <f t="shared" si="9"/>
        <v>70058</v>
      </c>
      <c r="R44" s="72">
        <v>1103615</v>
      </c>
      <c r="S44" s="72">
        <f t="shared" si="10"/>
        <v>955071</v>
      </c>
      <c r="T44" s="62">
        <f t="shared" si="11"/>
        <v>955071</v>
      </c>
    </row>
    <row r="45" spans="1:20" s="73" customFormat="1">
      <c r="A45" s="8"/>
      <c r="B45" s="8"/>
      <c r="C45" s="8"/>
      <c r="D45" s="43" t="s">
        <v>7</v>
      </c>
      <c r="E45" s="44"/>
      <c r="F45" s="135" t="s">
        <v>85</v>
      </c>
      <c r="G45" s="82">
        <f>G46</f>
        <v>1464726</v>
      </c>
      <c r="H45" s="82">
        <f t="shared" si="28"/>
        <v>579713</v>
      </c>
      <c r="I45" s="82">
        <f t="shared" si="28"/>
        <v>509655</v>
      </c>
      <c r="J45" s="82">
        <f t="shared" si="28"/>
        <v>509655</v>
      </c>
      <c r="K45" s="29">
        <f>'1.02.'!M45</f>
        <v>125000</v>
      </c>
      <c r="L45" s="82">
        <f t="shared" si="28"/>
        <v>106389</v>
      </c>
      <c r="M45" s="82">
        <f t="shared" si="28"/>
        <v>509655</v>
      </c>
      <c r="N45" s="82">
        <f t="shared" si="28"/>
        <v>0</v>
      </c>
      <c r="O45" s="70">
        <f t="shared" si="4"/>
        <v>100</v>
      </c>
      <c r="P45" s="71">
        <f t="shared" si="8"/>
        <v>0</v>
      </c>
      <c r="Q45" s="35">
        <f t="shared" si="9"/>
        <v>70058</v>
      </c>
      <c r="R45" s="72">
        <v>1103616</v>
      </c>
      <c r="S45" s="72">
        <f t="shared" si="10"/>
        <v>955071</v>
      </c>
      <c r="T45" s="62"/>
    </row>
    <row r="46" spans="1:20" s="73" customFormat="1" ht="25.5">
      <c r="A46" s="8"/>
      <c r="B46" s="8"/>
      <c r="C46" s="8"/>
      <c r="D46" s="45"/>
      <c r="E46" s="46">
        <v>339</v>
      </c>
      <c r="F46" s="138" t="s">
        <v>109</v>
      </c>
      <c r="G46" s="84">
        <f>SUM(G47:G54)</f>
        <v>1464726</v>
      </c>
      <c r="H46" s="84">
        <f t="shared" ref="H46:J46" si="29">SUM(H47:H54)</f>
        <v>579713</v>
      </c>
      <c r="I46" s="84">
        <f>SUM(I47:I54)</f>
        <v>509655</v>
      </c>
      <c r="J46" s="108">
        <f t="shared" si="29"/>
        <v>509655</v>
      </c>
      <c r="K46" s="35">
        <f>'1.02.'!M46</f>
        <v>125000</v>
      </c>
      <c r="L46" s="84">
        <f>SUM(L47:L54)</f>
        <v>106389</v>
      </c>
      <c r="M46" s="84">
        <f>SUM(M47:M54)</f>
        <v>509655</v>
      </c>
      <c r="N46" s="84">
        <f>SUM(N47:N54)</f>
        <v>0</v>
      </c>
      <c r="O46" s="70">
        <f t="shared" si="4"/>
        <v>100</v>
      </c>
      <c r="P46" s="71">
        <f t="shared" si="8"/>
        <v>0</v>
      </c>
      <c r="Q46" s="35">
        <f t="shared" si="9"/>
        <v>70058</v>
      </c>
      <c r="R46" s="72">
        <v>1103617</v>
      </c>
      <c r="S46" s="72">
        <f t="shared" si="10"/>
        <v>955071</v>
      </c>
      <c r="T46" s="62"/>
    </row>
    <row r="47" spans="1:20" s="73" customFormat="1">
      <c r="A47" s="8"/>
      <c r="B47" s="8"/>
      <c r="C47" s="8"/>
      <c r="D47" s="45"/>
      <c r="E47" s="46"/>
      <c r="F47" s="47" t="s">
        <v>46</v>
      </c>
      <c r="G47" s="83">
        <f>G57+G66+G75+G84+G93</f>
        <v>547812</v>
      </c>
      <c r="H47" s="83">
        <f t="shared" ref="H47:N54" si="30">H57+H66+H75+H84+H93</f>
        <v>111815</v>
      </c>
      <c r="I47" s="83">
        <f t="shared" si="30"/>
        <v>111815</v>
      </c>
      <c r="J47" s="83">
        <f t="shared" si="30"/>
        <v>111815</v>
      </c>
      <c r="K47" s="83">
        <f t="shared" si="30"/>
        <v>64056</v>
      </c>
      <c r="L47" s="83">
        <f t="shared" si="30"/>
        <v>47759</v>
      </c>
      <c r="M47" s="83">
        <f t="shared" si="30"/>
        <v>111815</v>
      </c>
      <c r="N47" s="83">
        <f t="shared" si="30"/>
        <v>0</v>
      </c>
      <c r="O47" s="70">
        <f t="shared" si="4"/>
        <v>100</v>
      </c>
      <c r="P47" s="71">
        <f t="shared" si="8"/>
        <v>0</v>
      </c>
      <c r="Q47" s="35">
        <f t="shared" si="9"/>
        <v>0</v>
      </c>
      <c r="R47" s="72">
        <v>1103618</v>
      </c>
      <c r="S47" s="72">
        <f t="shared" si="10"/>
        <v>435997</v>
      </c>
      <c r="T47" s="62"/>
    </row>
    <row r="48" spans="1:20" s="73" customFormat="1">
      <c r="A48" s="8"/>
      <c r="B48" s="8"/>
      <c r="C48" s="8"/>
      <c r="D48" s="45"/>
      <c r="E48" s="46"/>
      <c r="F48" s="47" t="s">
        <v>8</v>
      </c>
      <c r="G48" s="83">
        <f t="shared" ref="G48:J54" si="31">G58+G67+G76+G85+G94</f>
        <v>60337</v>
      </c>
      <c r="H48" s="83">
        <f t="shared" si="31"/>
        <v>27329</v>
      </c>
      <c r="I48" s="83">
        <f t="shared" si="31"/>
        <v>27329</v>
      </c>
      <c r="J48" s="83">
        <f t="shared" si="31"/>
        <v>27329</v>
      </c>
      <c r="K48" s="83">
        <f t="shared" si="30"/>
        <v>14607</v>
      </c>
      <c r="L48" s="83">
        <f t="shared" si="30"/>
        <v>12722</v>
      </c>
      <c r="M48" s="83">
        <f t="shared" si="30"/>
        <v>27329</v>
      </c>
      <c r="N48" s="83">
        <f t="shared" si="30"/>
        <v>0</v>
      </c>
      <c r="O48" s="70">
        <f t="shared" si="4"/>
        <v>100</v>
      </c>
      <c r="P48" s="71">
        <f t="shared" si="8"/>
        <v>0</v>
      </c>
      <c r="Q48" s="35">
        <f t="shared" si="9"/>
        <v>0</v>
      </c>
      <c r="R48" s="72">
        <v>1103619</v>
      </c>
      <c r="S48" s="72">
        <f t="shared" si="10"/>
        <v>33008</v>
      </c>
      <c r="T48" s="62"/>
    </row>
    <row r="49" spans="1:20" s="73" customFormat="1">
      <c r="A49" s="8"/>
      <c r="B49" s="8"/>
      <c r="C49" s="8"/>
      <c r="D49" s="45"/>
      <c r="E49" s="46"/>
      <c r="F49" s="49" t="s">
        <v>9</v>
      </c>
      <c r="G49" s="83">
        <f t="shared" si="31"/>
        <v>123501</v>
      </c>
      <c r="H49" s="83">
        <f t="shared" si="31"/>
        <v>32950</v>
      </c>
      <c r="I49" s="83">
        <f t="shared" si="31"/>
        <v>32950</v>
      </c>
      <c r="J49" s="83">
        <f t="shared" si="31"/>
        <v>32950</v>
      </c>
      <c r="K49" s="83">
        <f t="shared" si="30"/>
        <v>24027</v>
      </c>
      <c r="L49" s="83">
        <f t="shared" si="30"/>
        <v>8923</v>
      </c>
      <c r="M49" s="83">
        <f t="shared" si="30"/>
        <v>32950</v>
      </c>
      <c r="N49" s="83">
        <f t="shared" si="30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1103620</v>
      </c>
      <c r="S49" s="72">
        <f t="shared" si="10"/>
        <v>90551</v>
      </c>
      <c r="T49" s="62"/>
    </row>
    <row r="50" spans="1:20" s="73" customFormat="1">
      <c r="A50" s="8"/>
      <c r="B50" s="8"/>
      <c r="C50" s="8"/>
      <c r="D50" s="45"/>
      <c r="E50" s="46"/>
      <c r="F50" s="49" t="s">
        <v>10</v>
      </c>
      <c r="G50" s="83">
        <f t="shared" si="31"/>
        <v>48916</v>
      </c>
      <c r="H50" s="83">
        <f t="shared" si="31"/>
        <v>9356</v>
      </c>
      <c r="I50" s="83">
        <f t="shared" si="31"/>
        <v>9356</v>
      </c>
      <c r="J50" s="83">
        <f t="shared" si="31"/>
        <v>9356</v>
      </c>
      <c r="K50" s="83">
        <f t="shared" si="30"/>
        <v>5388</v>
      </c>
      <c r="L50" s="83">
        <f t="shared" si="30"/>
        <v>3968</v>
      </c>
      <c r="M50" s="83">
        <f t="shared" si="30"/>
        <v>9356</v>
      </c>
      <c r="N50" s="83">
        <f t="shared" si="30"/>
        <v>0</v>
      </c>
      <c r="O50" s="70">
        <f t="shared" si="4"/>
        <v>100</v>
      </c>
      <c r="P50" s="71">
        <f t="shared" si="8"/>
        <v>0</v>
      </c>
      <c r="Q50" s="35">
        <f t="shared" si="9"/>
        <v>0</v>
      </c>
      <c r="R50" s="72">
        <v>1103621</v>
      </c>
      <c r="S50" s="72">
        <f t="shared" si="10"/>
        <v>39560</v>
      </c>
      <c r="T50" s="62"/>
    </row>
    <row r="51" spans="1:20" s="73" customFormat="1">
      <c r="A51" s="8"/>
      <c r="B51" s="8"/>
      <c r="C51" s="8"/>
      <c r="D51" s="45"/>
      <c r="E51" s="46"/>
      <c r="F51" s="49" t="s">
        <v>47</v>
      </c>
      <c r="G51" s="83">
        <f t="shared" si="31"/>
        <v>85380</v>
      </c>
      <c r="H51" s="83">
        <f t="shared" si="31"/>
        <v>22403</v>
      </c>
      <c r="I51" s="83">
        <f t="shared" si="31"/>
        <v>22403</v>
      </c>
      <c r="J51" s="83">
        <f t="shared" si="31"/>
        <v>22403</v>
      </c>
      <c r="K51" s="83">
        <f t="shared" si="30"/>
        <v>15060</v>
      </c>
      <c r="L51" s="83">
        <f t="shared" si="30"/>
        <v>7343</v>
      </c>
      <c r="M51" s="83">
        <f t="shared" si="30"/>
        <v>22403</v>
      </c>
      <c r="N51" s="83">
        <f t="shared" si="30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1103622</v>
      </c>
      <c r="S51" s="72">
        <f t="shared" si="10"/>
        <v>62977</v>
      </c>
      <c r="T51" s="62"/>
    </row>
    <row r="52" spans="1:20" s="73" customFormat="1">
      <c r="A52" s="8"/>
      <c r="B52" s="8"/>
      <c r="C52" s="8"/>
      <c r="D52" s="45"/>
      <c r="E52" s="46"/>
      <c r="F52" s="49" t="s">
        <v>48</v>
      </c>
      <c r="G52" s="83">
        <f t="shared" si="31"/>
        <v>145294</v>
      </c>
      <c r="H52" s="83">
        <f t="shared" si="31"/>
        <v>30140</v>
      </c>
      <c r="I52" s="83">
        <f t="shared" si="31"/>
        <v>30140</v>
      </c>
      <c r="J52" s="83">
        <f t="shared" si="31"/>
        <v>30140</v>
      </c>
      <c r="K52" s="83">
        <f t="shared" si="30"/>
        <v>18368</v>
      </c>
      <c r="L52" s="83">
        <f t="shared" si="30"/>
        <v>11772</v>
      </c>
      <c r="M52" s="83">
        <f t="shared" si="30"/>
        <v>30140</v>
      </c>
      <c r="N52" s="83">
        <f t="shared" si="30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1103623</v>
      </c>
      <c r="S52" s="72">
        <f t="shared" si="10"/>
        <v>115154</v>
      </c>
      <c r="T52" s="62"/>
    </row>
    <row r="53" spans="1:20" s="73" customFormat="1">
      <c r="A53" s="8"/>
      <c r="B53" s="8"/>
      <c r="C53" s="8"/>
      <c r="D53" s="45"/>
      <c r="E53" s="46"/>
      <c r="F53" s="49" t="s">
        <v>12</v>
      </c>
      <c r="G53" s="83">
        <f t="shared" si="31"/>
        <v>379340</v>
      </c>
      <c r="H53" s="83">
        <f t="shared" si="31"/>
        <v>326093</v>
      </c>
      <c r="I53" s="83">
        <f t="shared" si="31"/>
        <v>256035</v>
      </c>
      <c r="J53" s="83">
        <f t="shared" si="31"/>
        <v>256035</v>
      </c>
      <c r="K53" s="83">
        <f t="shared" si="30"/>
        <v>251262</v>
      </c>
      <c r="L53" s="83">
        <f t="shared" si="30"/>
        <v>4773</v>
      </c>
      <c r="M53" s="83">
        <f t="shared" si="30"/>
        <v>256035</v>
      </c>
      <c r="N53" s="83">
        <f t="shared" si="30"/>
        <v>0</v>
      </c>
      <c r="O53" s="70">
        <f t="shared" si="4"/>
        <v>100</v>
      </c>
      <c r="P53" s="71">
        <f t="shared" si="8"/>
        <v>0</v>
      </c>
      <c r="Q53" s="35">
        <f t="shared" si="9"/>
        <v>70058</v>
      </c>
      <c r="R53" s="72">
        <v>1103624</v>
      </c>
      <c r="S53" s="72">
        <f t="shared" si="10"/>
        <v>123305</v>
      </c>
      <c r="T53" s="62"/>
    </row>
    <row r="54" spans="1:20" s="73" customFormat="1">
      <c r="A54" s="8"/>
      <c r="B54" s="8"/>
      <c r="C54" s="8"/>
      <c r="D54" s="45"/>
      <c r="E54" s="46"/>
      <c r="F54" s="49" t="s">
        <v>11</v>
      </c>
      <c r="G54" s="83">
        <f t="shared" si="31"/>
        <v>74146</v>
      </c>
      <c r="H54" s="83">
        <f t="shared" si="31"/>
        <v>19627</v>
      </c>
      <c r="I54" s="83">
        <f t="shared" si="31"/>
        <v>19627</v>
      </c>
      <c r="J54" s="83">
        <f t="shared" si="31"/>
        <v>19627</v>
      </c>
      <c r="K54" s="83">
        <f t="shared" si="30"/>
        <v>10498</v>
      </c>
      <c r="L54" s="83">
        <f t="shared" si="30"/>
        <v>9129</v>
      </c>
      <c r="M54" s="83">
        <f t="shared" si="30"/>
        <v>19627</v>
      </c>
      <c r="N54" s="83">
        <f t="shared" si="30"/>
        <v>0</v>
      </c>
      <c r="O54" s="70">
        <f t="shared" si="4"/>
        <v>100</v>
      </c>
      <c r="P54" s="71">
        <f t="shared" si="8"/>
        <v>0</v>
      </c>
      <c r="Q54" s="35">
        <f t="shared" si="9"/>
        <v>0</v>
      </c>
      <c r="R54" s="72">
        <v>1103625</v>
      </c>
      <c r="S54" s="72">
        <f t="shared" si="10"/>
        <v>54519</v>
      </c>
      <c r="T54" s="62"/>
    </row>
    <row r="55" spans="1:20" s="73" customFormat="1">
      <c r="A55" s="8"/>
      <c r="B55" s="8"/>
      <c r="C55" s="8"/>
      <c r="D55" s="45"/>
      <c r="E55" s="46"/>
      <c r="F55" s="50" t="s">
        <v>110</v>
      </c>
      <c r="G55" s="82"/>
      <c r="H55" s="82"/>
      <c r="I55" s="82"/>
      <c r="J55" s="75" t="e">
        <f t="shared" ref="J55:J73" si="32">M55</f>
        <v>#REF!</v>
      </c>
      <c r="K55" s="35" t="e">
        <f>'1.02.'!M55</f>
        <v>#REF!</v>
      </c>
      <c r="L55" s="35"/>
      <c r="M55" s="80" t="e">
        <f t="shared" ref="M55:M73" si="33">K55+L55</f>
        <v>#REF!</v>
      </c>
      <c r="N55" s="35" t="e">
        <f t="shared" ref="N55:N64" si="34">I55-M55</f>
        <v>#REF!</v>
      </c>
      <c r="O55" s="70" t="e">
        <f t="shared" si="4"/>
        <v>#REF!</v>
      </c>
      <c r="P55" s="71" t="e">
        <f t="shared" si="8"/>
        <v>#REF!</v>
      </c>
      <c r="Q55" s="35" t="e">
        <f t="shared" si="9"/>
        <v>#REF!</v>
      </c>
      <c r="R55" s="72">
        <v>1103626</v>
      </c>
      <c r="S55" s="72" t="e">
        <f t="shared" si="10"/>
        <v>#REF!</v>
      </c>
      <c r="T55" s="62"/>
    </row>
    <row r="56" spans="1:20" s="73" customFormat="1">
      <c r="A56" s="8"/>
      <c r="B56" s="8"/>
      <c r="C56" s="8"/>
      <c r="D56" s="44"/>
      <c r="E56" s="52"/>
      <c r="F56" s="53" t="s">
        <v>111</v>
      </c>
      <c r="G56" s="84">
        <f>SUM(G57:G64)</f>
        <v>615150</v>
      </c>
      <c r="H56" s="84">
        <f t="shared" ref="H56:N56" si="35">SUM(H57:H64)</f>
        <v>132321</v>
      </c>
      <c r="I56" s="84">
        <f t="shared" si="35"/>
        <v>132321</v>
      </c>
      <c r="J56" s="108">
        <f t="shared" si="35"/>
        <v>132321</v>
      </c>
      <c r="K56" s="108">
        <f t="shared" si="35"/>
        <v>85028</v>
      </c>
      <c r="L56" s="108">
        <f t="shared" si="35"/>
        <v>47293</v>
      </c>
      <c r="M56" s="108">
        <f t="shared" si="35"/>
        <v>132321</v>
      </c>
      <c r="N56" s="84">
        <f t="shared" si="35"/>
        <v>0</v>
      </c>
      <c r="O56" s="70">
        <f t="shared" si="4"/>
        <v>100</v>
      </c>
      <c r="P56" s="71">
        <f t="shared" si="8"/>
        <v>0</v>
      </c>
      <c r="Q56" s="35">
        <f t="shared" si="9"/>
        <v>0</v>
      </c>
      <c r="R56" s="72">
        <v>1103627</v>
      </c>
      <c r="S56" s="72">
        <f t="shared" si="10"/>
        <v>482829</v>
      </c>
      <c r="T56" s="62"/>
    </row>
    <row r="57" spans="1:20" s="73" customFormat="1">
      <c r="A57" s="8"/>
      <c r="B57" s="8"/>
      <c r="C57" s="8"/>
      <c r="D57" s="45"/>
      <c r="E57" s="45"/>
      <c r="F57" s="47" t="s">
        <v>46</v>
      </c>
      <c r="G57" s="83">
        <v>233757</v>
      </c>
      <c r="H57" s="83">
        <f>14105+15933+16957</f>
        <v>46995</v>
      </c>
      <c r="I57" s="83">
        <f>H57</f>
        <v>46995</v>
      </c>
      <c r="J57" s="75">
        <f>M57</f>
        <v>46995</v>
      </c>
      <c r="K57" s="35">
        <f>'1.04.'!M57</f>
        <v>30038</v>
      </c>
      <c r="L57" s="35">
        <v>16957</v>
      </c>
      <c r="M57" s="80">
        <f t="shared" si="33"/>
        <v>46995</v>
      </c>
      <c r="N57" s="35">
        <f t="shared" si="34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1103628</v>
      </c>
      <c r="S57" s="72">
        <f t="shared" si="10"/>
        <v>186762</v>
      </c>
      <c r="T57" s="62"/>
    </row>
    <row r="58" spans="1:20" s="73" customFormat="1">
      <c r="A58" s="8"/>
      <c r="B58" s="8"/>
      <c r="C58" s="8"/>
      <c r="D58" s="45"/>
      <c r="E58" s="45"/>
      <c r="F58" s="47" t="s">
        <v>8</v>
      </c>
      <c r="G58" s="83">
        <v>33218</v>
      </c>
      <c r="H58" s="83">
        <f>3154+3907+4339</f>
        <v>11400</v>
      </c>
      <c r="I58" s="83">
        <f t="shared" ref="I58:I64" si="36">H58</f>
        <v>11400</v>
      </c>
      <c r="J58" s="75">
        <f t="shared" si="32"/>
        <v>11400</v>
      </c>
      <c r="K58" s="35">
        <f>'1.04.'!M58</f>
        <v>7061</v>
      </c>
      <c r="L58" s="35">
        <v>4339</v>
      </c>
      <c r="M58" s="80">
        <f t="shared" si="33"/>
        <v>11400</v>
      </c>
      <c r="N58" s="35">
        <f t="shared" si="34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1103629</v>
      </c>
      <c r="S58" s="72">
        <f t="shared" si="10"/>
        <v>21818</v>
      </c>
      <c r="T58" s="62"/>
    </row>
    <row r="59" spans="1:20" s="73" customFormat="1">
      <c r="A59" s="8"/>
      <c r="B59" s="8"/>
      <c r="C59" s="8"/>
      <c r="D59" s="45"/>
      <c r="E59" s="45"/>
      <c r="F59" s="49" t="s">
        <v>9</v>
      </c>
      <c r="G59" s="83">
        <v>91657</v>
      </c>
      <c r="H59" s="83">
        <f>5815+6877+7129</f>
        <v>19821</v>
      </c>
      <c r="I59" s="83">
        <f t="shared" si="36"/>
        <v>19821</v>
      </c>
      <c r="J59" s="75">
        <f t="shared" si="32"/>
        <v>19821</v>
      </c>
      <c r="K59" s="35">
        <f>'1.04.'!M59</f>
        <v>12692</v>
      </c>
      <c r="L59" s="35">
        <v>7129</v>
      </c>
      <c r="M59" s="80">
        <f t="shared" si="33"/>
        <v>19821</v>
      </c>
      <c r="N59" s="35">
        <f t="shared" si="34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1103630</v>
      </c>
      <c r="S59" s="72">
        <f t="shared" si="10"/>
        <v>71836</v>
      </c>
      <c r="T59" s="62"/>
    </row>
    <row r="60" spans="1:20" s="73" customFormat="1">
      <c r="A60" s="8"/>
      <c r="B60" s="8"/>
      <c r="C60" s="8"/>
      <c r="D60" s="45"/>
      <c r="E60" s="45"/>
      <c r="F60" s="49" t="s">
        <v>10</v>
      </c>
      <c r="G60" s="83">
        <v>25221</v>
      </c>
      <c r="H60" s="83">
        <f>1864+2063+2209</f>
        <v>6136</v>
      </c>
      <c r="I60" s="83">
        <f t="shared" si="36"/>
        <v>6136</v>
      </c>
      <c r="J60" s="75">
        <f t="shared" si="32"/>
        <v>6136</v>
      </c>
      <c r="K60" s="35">
        <f>'1.04.'!M60</f>
        <v>3927</v>
      </c>
      <c r="L60" s="35">
        <v>2209</v>
      </c>
      <c r="M60" s="80">
        <f t="shared" si="33"/>
        <v>6136</v>
      </c>
      <c r="N60" s="35">
        <f t="shared" si="34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1103631</v>
      </c>
      <c r="S60" s="72">
        <f t="shared" si="10"/>
        <v>19085</v>
      </c>
      <c r="T60" s="62"/>
    </row>
    <row r="61" spans="1:20" s="73" customFormat="1">
      <c r="A61" s="8"/>
      <c r="B61" s="8"/>
      <c r="C61" s="8"/>
      <c r="D61" s="45"/>
      <c r="E61" s="45"/>
      <c r="F61" s="49" t="s">
        <v>47</v>
      </c>
      <c r="G61" s="83">
        <v>55364</v>
      </c>
      <c r="H61" s="83">
        <f>4910+5242+5520</f>
        <v>15672</v>
      </c>
      <c r="I61" s="83">
        <f t="shared" si="36"/>
        <v>15672</v>
      </c>
      <c r="J61" s="75">
        <f t="shared" si="32"/>
        <v>15672</v>
      </c>
      <c r="K61" s="35">
        <f>'1.04.'!M61</f>
        <v>10152</v>
      </c>
      <c r="L61" s="35">
        <v>5520</v>
      </c>
      <c r="M61" s="80">
        <f t="shared" si="33"/>
        <v>15672</v>
      </c>
      <c r="N61" s="35">
        <f t="shared" si="34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1103632</v>
      </c>
      <c r="S61" s="72">
        <f t="shared" si="10"/>
        <v>39692</v>
      </c>
      <c r="T61" s="62"/>
    </row>
    <row r="62" spans="1:20" s="73" customFormat="1">
      <c r="A62" s="8"/>
      <c r="B62" s="8"/>
      <c r="C62" s="8"/>
      <c r="D62" s="45"/>
      <c r="E62" s="45"/>
      <c r="F62" s="49" t="s">
        <v>48</v>
      </c>
      <c r="G62" s="83">
        <v>96579</v>
      </c>
      <c r="H62" s="83">
        <f>5824+6008+6007</f>
        <v>17839</v>
      </c>
      <c r="I62" s="83">
        <f t="shared" si="36"/>
        <v>17839</v>
      </c>
      <c r="J62" s="75">
        <f t="shared" si="32"/>
        <v>17839</v>
      </c>
      <c r="K62" s="35">
        <f>'1.04.'!M62</f>
        <v>11832</v>
      </c>
      <c r="L62" s="35">
        <v>6007</v>
      </c>
      <c r="M62" s="80">
        <f t="shared" si="33"/>
        <v>17839</v>
      </c>
      <c r="N62" s="35">
        <f t="shared" si="34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1103633</v>
      </c>
      <c r="S62" s="72">
        <f t="shared" si="10"/>
        <v>78740</v>
      </c>
      <c r="T62" s="62"/>
    </row>
    <row r="63" spans="1:20" s="73" customFormat="1">
      <c r="A63" s="8"/>
      <c r="B63" s="8"/>
      <c r="C63" s="8"/>
      <c r="D63" s="45"/>
      <c r="E63" s="45"/>
      <c r="F63" s="49" t="s">
        <v>12</v>
      </c>
      <c r="G63" s="83">
        <v>33833</v>
      </c>
      <c r="H63" s="83">
        <f>2019+2264+2458</f>
        <v>6741</v>
      </c>
      <c r="I63" s="83">
        <f t="shared" si="36"/>
        <v>6741</v>
      </c>
      <c r="J63" s="75">
        <f t="shared" si="32"/>
        <v>6741</v>
      </c>
      <c r="K63" s="35">
        <f>'1.04.'!M63</f>
        <v>4283</v>
      </c>
      <c r="L63" s="35">
        <v>2458</v>
      </c>
      <c r="M63" s="80">
        <f t="shared" si="33"/>
        <v>6741</v>
      </c>
      <c r="N63" s="35">
        <f t="shared" si="34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1103634</v>
      </c>
      <c r="S63" s="72">
        <f t="shared" si="10"/>
        <v>27092</v>
      </c>
      <c r="T63" s="62"/>
    </row>
    <row r="64" spans="1:20" s="73" customFormat="1">
      <c r="A64" s="8"/>
      <c r="B64" s="8"/>
      <c r="C64" s="8"/>
      <c r="D64" s="45"/>
      <c r="E64" s="45"/>
      <c r="F64" s="49" t="s">
        <v>11</v>
      </c>
      <c r="G64" s="83">
        <v>45521</v>
      </c>
      <c r="H64" s="83">
        <f>2410+2633+2674</f>
        <v>7717</v>
      </c>
      <c r="I64" s="83">
        <f t="shared" si="36"/>
        <v>7717</v>
      </c>
      <c r="J64" s="75">
        <f t="shared" si="32"/>
        <v>7717</v>
      </c>
      <c r="K64" s="35">
        <f>'1.04.'!M64</f>
        <v>5043</v>
      </c>
      <c r="L64" s="35">
        <v>2674</v>
      </c>
      <c r="M64" s="80">
        <f t="shared" si="33"/>
        <v>7717</v>
      </c>
      <c r="N64" s="35">
        <f t="shared" si="34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1103635</v>
      </c>
      <c r="S64" s="72">
        <f t="shared" si="10"/>
        <v>37804</v>
      </c>
      <c r="T64" s="62"/>
    </row>
    <row r="65" spans="1:20" s="73" customFormat="1" ht="25.5">
      <c r="A65" s="8"/>
      <c r="B65" s="8"/>
      <c r="C65" s="8"/>
      <c r="D65" s="44"/>
      <c r="E65" s="52"/>
      <c r="F65" s="53" t="s">
        <v>112</v>
      </c>
      <c r="G65" s="84">
        <f>SUM(G66:G73)</f>
        <v>111098</v>
      </c>
      <c r="H65" s="84">
        <f t="shared" ref="H65:N65" si="37">SUM(H66:H73)</f>
        <v>14157</v>
      </c>
      <c r="I65" s="84">
        <f t="shared" si="37"/>
        <v>14157</v>
      </c>
      <c r="J65" s="108">
        <f t="shared" si="37"/>
        <v>14157</v>
      </c>
      <c r="K65" s="108">
        <f t="shared" si="37"/>
        <v>9159</v>
      </c>
      <c r="L65" s="108">
        <f t="shared" si="37"/>
        <v>4998</v>
      </c>
      <c r="M65" s="108">
        <f t="shared" si="37"/>
        <v>14157</v>
      </c>
      <c r="N65" s="84">
        <f t="shared" si="37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1103636</v>
      </c>
      <c r="S65" s="72">
        <f t="shared" si="10"/>
        <v>96941</v>
      </c>
      <c r="T65" s="62"/>
    </row>
    <row r="66" spans="1:20" s="73" customFormat="1">
      <c r="A66" s="8"/>
      <c r="B66" s="8"/>
      <c r="C66" s="8"/>
      <c r="D66" s="45"/>
      <c r="E66" s="45"/>
      <c r="F66" s="47" t="s">
        <v>46</v>
      </c>
      <c r="G66" s="83">
        <v>38884</v>
      </c>
      <c r="H66" s="83">
        <f>1421+1689+1718</f>
        <v>4828</v>
      </c>
      <c r="I66" s="83">
        <f>H66</f>
        <v>4828</v>
      </c>
      <c r="J66" s="75">
        <f t="shared" si="32"/>
        <v>4828</v>
      </c>
      <c r="K66" s="35">
        <f>'1.04.'!M66</f>
        <v>3110</v>
      </c>
      <c r="L66" s="35">
        <v>1718</v>
      </c>
      <c r="M66" s="80">
        <f t="shared" si="33"/>
        <v>4828</v>
      </c>
      <c r="N66" s="35">
        <f t="shared" ref="N66:N73" si="38">I66-M66</f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1103637</v>
      </c>
      <c r="S66" s="72">
        <f t="shared" si="10"/>
        <v>34056</v>
      </c>
      <c r="T66" s="62"/>
    </row>
    <row r="67" spans="1:20" s="73" customFormat="1">
      <c r="A67" s="8"/>
      <c r="B67" s="8"/>
      <c r="C67" s="8"/>
      <c r="D67" s="45"/>
      <c r="E67" s="45"/>
      <c r="F67" s="47" t="s">
        <v>8</v>
      </c>
      <c r="G67" s="83">
        <v>7221</v>
      </c>
      <c r="H67" s="83">
        <f>238+322+361</f>
        <v>921</v>
      </c>
      <c r="I67" s="83">
        <f t="shared" ref="I67:I73" si="39">H67</f>
        <v>921</v>
      </c>
      <c r="J67" s="75">
        <f t="shared" si="32"/>
        <v>921</v>
      </c>
      <c r="K67" s="35">
        <f>'1.04.'!M67</f>
        <v>560</v>
      </c>
      <c r="L67" s="35">
        <v>361</v>
      </c>
      <c r="M67" s="80">
        <f t="shared" si="33"/>
        <v>921</v>
      </c>
      <c r="N67" s="35">
        <f t="shared" si="38"/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1103638</v>
      </c>
      <c r="S67" s="72">
        <f t="shared" si="10"/>
        <v>6300</v>
      </c>
      <c r="T67" s="62"/>
    </row>
    <row r="68" spans="1:20" s="73" customFormat="1">
      <c r="A68" s="8"/>
      <c r="B68" s="8"/>
      <c r="C68" s="8"/>
      <c r="D68" s="45"/>
      <c r="E68" s="45"/>
      <c r="F68" s="49" t="s">
        <v>9</v>
      </c>
      <c r="G68" s="83">
        <v>13554</v>
      </c>
      <c r="H68" s="83">
        <f>588+692+689</f>
        <v>1969</v>
      </c>
      <c r="I68" s="83">
        <f t="shared" si="39"/>
        <v>1969</v>
      </c>
      <c r="J68" s="75">
        <f t="shared" si="32"/>
        <v>1969</v>
      </c>
      <c r="K68" s="35">
        <f>'1.04.'!M68</f>
        <v>1280</v>
      </c>
      <c r="L68" s="35">
        <v>689</v>
      </c>
      <c r="M68" s="80">
        <f t="shared" si="33"/>
        <v>1969</v>
      </c>
      <c r="N68" s="35">
        <f t="shared" si="38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1103639</v>
      </c>
      <c r="S68" s="72">
        <f t="shared" si="10"/>
        <v>11585</v>
      </c>
      <c r="T68" s="62"/>
    </row>
    <row r="69" spans="1:20" s="73" customFormat="1">
      <c r="A69" s="8"/>
      <c r="B69" s="8"/>
      <c r="C69" s="8"/>
      <c r="D69" s="45"/>
      <c r="E69" s="45"/>
      <c r="F69" s="49" t="s">
        <v>10</v>
      </c>
      <c r="G69" s="83">
        <v>4777</v>
      </c>
      <c r="H69" s="83">
        <f>215+246+259</f>
        <v>720</v>
      </c>
      <c r="I69" s="83">
        <f t="shared" si="39"/>
        <v>720</v>
      </c>
      <c r="J69" s="75">
        <f t="shared" si="32"/>
        <v>720</v>
      </c>
      <c r="K69" s="35">
        <f>'1.04.'!M69</f>
        <v>461</v>
      </c>
      <c r="L69" s="35">
        <v>259</v>
      </c>
      <c r="M69" s="80">
        <f t="shared" si="33"/>
        <v>720</v>
      </c>
      <c r="N69" s="35">
        <f t="shared" si="38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1103640</v>
      </c>
      <c r="S69" s="72">
        <f t="shared" si="10"/>
        <v>4057</v>
      </c>
      <c r="T69" s="62"/>
    </row>
    <row r="70" spans="1:20" s="73" customFormat="1">
      <c r="A70" s="8"/>
      <c r="B70" s="8"/>
      <c r="C70" s="8"/>
      <c r="D70" s="45"/>
      <c r="E70" s="45"/>
      <c r="F70" s="49" t="s">
        <v>47</v>
      </c>
      <c r="G70" s="83">
        <v>10999</v>
      </c>
      <c r="H70" s="83">
        <f>508+650+573</f>
        <v>1731</v>
      </c>
      <c r="I70" s="83">
        <f t="shared" si="39"/>
        <v>1731</v>
      </c>
      <c r="J70" s="75">
        <f t="shared" si="32"/>
        <v>1731</v>
      </c>
      <c r="K70" s="35">
        <f>'1.04.'!M70</f>
        <v>1158</v>
      </c>
      <c r="L70" s="35">
        <v>573</v>
      </c>
      <c r="M70" s="80">
        <f t="shared" si="33"/>
        <v>1731</v>
      </c>
      <c r="N70" s="35">
        <f t="shared" si="38"/>
        <v>0</v>
      </c>
      <c r="O70" s="70">
        <f t="shared" ref="O70:O73" si="40">M70/I70*100</f>
        <v>100</v>
      </c>
      <c r="P70" s="71">
        <f t="shared" si="8"/>
        <v>0</v>
      </c>
      <c r="Q70" s="35">
        <f t="shared" si="9"/>
        <v>0</v>
      </c>
      <c r="R70" s="72">
        <v>1103641</v>
      </c>
      <c r="S70" s="72">
        <f t="shared" si="10"/>
        <v>9268</v>
      </c>
      <c r="T70" s="62"/>
    </row>
    <row r="71" spans="1:20" s="73" customFormat="1">
      <c r="A71" s="8"/>
      <c r="B71" s="8"/>
      <c r="C71" s="8"/>
      <c r="D71" s="45"/>
      <c r="E71" s="45"/>
      <c r="F71" s="49" t="s">
        <v>48</v>
      </c>
      <c r="G71" s="83">
        <v>21109</v>
      </c>
      <c r="H71" s="83">
        <f>766+770+765</f>
        <v>2301</v>
      </c>
      <c r="I71" s="83">
        <f t="shared" si="39"/>
        <v>2301</v>
      </c>
      <c r="J71" s="75">
        <f t="shared" si="32"/>
        <v>2301</v>
      </c>
      <c r="K71" s="35">
        <f>'1.04.'!M71</f>
        <v>1536</v>
      </c>
      <c r="L71" s="35">
        <v>765</v>
      </c>
      <c r="M71" s="80">
        <f t="shared" si="33"/>
        <v>2301</v>
      </c>
      <c r="N71" s="35">
        <f t="shared" si="38"/>
        <v>0</v>
      </c>
      <c r="O71" s="70">
        <f t="shared" si="40"/>
        <v>100</v>
      </c>
      <c r="P71" s="71">
        <f t="shared" si="8"/>
        <v>0</v>
      </c>
      <c r="Q71" s="35">
        <f t="shared" si="9"/>
        <v>0</v>
      </c>
      <c r="R71" s="72">
        <v>1103642</v>
      </c>
      <c r="S71" s="72">
        <f t="shared" si="10"/>
        <v>18808</v>
      </c>
      <c r="T71" s="62"/>
    </row>
    <row r="72" spans="1:20" s="73" customFormat="1">
      <c r="A72" s="8"/>
      <c r="B72" s="8"/>
      <c r="C72" s="8"/>
      <c r="D72" s="45"/>
      <c r="E72" s="45"/>
      <c r="F72" s="49" t="s">
        <v>12</v>
      </c>
      <c r="G72" s="83">
        <v>6554</v>
      </c>
      <c r="H72" s="83">
        <f>234+267+315</f>
        <v>816</v>
      </c>
      <c r="I72" s="83">
        <f t="shared" si="39"/>
        <v>816</v>
      </c>
      <c r="J72" s="75">
        <f t="shared" si="32"/>
        <v>816</v>
      </c>
      <c r="K72" s="35">
        <f>'1.04.'!M72</f>
        <v>501</v>
      </c>
      <c r="L72" s="35">
        <v>315</v>
      </c>
      <c r="M72" s="80">
        <f t="shared" si="33"/>
        <v>816</v>
      </c>
      <c r="N72" s="35">
        <f t="shared" si="38"/>
        <v>0</v>
      </c>
      <c r="O72" s="70">
        <f t="shared" si="40"/>
        <v>100</v>
      </c>
      <c r="P72" s="71">
        <f t="shared" si="8"/>
        <v>0</v>
      </c>
      <c r="Q72" s="35">
        <f t="shared" si="9"/>
        <v>0</v>
      </c>
      <c r="R72" s="72">
        <v>1103643</v>
      </c>
      <c r="S72" s="72">
        <f t="shared" si="10"/>
        <v>5738</v>
      </c>
      <c r="T72" s="62"/>
    </row>
    <row r="73" spans="1:20" s="73" customFormat="1">
      <c r="A73" s="8"/>
      <c r="B73" s="8"/>
      <c r="C73" s="8"/>
      <c r="D73" s="45"/>
      <c r="E73" s="45"/>
      <c r="F73" s="49" t="s">
        <v>11</v>
      </c>
      <c r="G73" s="83">
        <v>8000</v>
      </c>
      <c r="H73" s="83">
        <f>267+286+318</f>
        <v>871</v>
      </c>
      <c r="I73" s="83">
        <f t="shared" si="39"/>
        <v>871</v>
      </c>
      <c r="J73" s="75">
        <f t="shared" si="32"/>
        <v>871</v>
      </c>
      <c r="K73" s="35">
        <f>'1.04.'!M73</f>
        <v>553</v>
      </c>
      <c r="L73" s="35">
        <v>318</v>
      </c>
      <c r="M73" s="80">
        <f t="shared" si="33"/>
        <v>871</v>
      </c>
      <c r="N73" s="35">
        <f t="shared" si="38"/>
        <v>0</v>
      </c>
      <c r="O73" s="70">
        <f t="shared" si="40"/>
        <v>100</v>
      </c>
      <c r="P73" s="71">
        <f t="shared" si="8"/>
        <v>0</v>
      </c>
      <c r="Q73" s="35">
        <f t="shared" si="9"/>
        <v>0</v>
      </c>
      <c r="R73" s="72">
        <v>1103644</v>
      </c>
      <c r="S73" s="72">
        <f t="shared" si="10"/>
        <v>7129</v>
      </c>
      <c r="T73" s="62"/>
    </row>
    <row r="74" spans="1:20" s="73" customFormat="1">
      <c r="A74" s="8"/>
      <c r="B74" s="8"/>
      <c r="C74" s="8"/>
      <c r="D74" s="45"/>
      <c r="E74" s="45"/>
      <c r="F74" s="51" t="s">
        <v>58</v>
      </c>
      <c r="G74" s="82">
        <f>SUM(G75:G82)</f>
        <v>314536</v>
      </c>
      <c r="H74" s="82">
        <f t="shared" ref="H74:O74" si="41">SUM(H75:H82)</f>
        <v>314536</v>
      </c>
      <c r="I74" s="82">
        <f t="shared" si="41"/>
        <v>244478</v>
      </c>
      <c r="J74" s="108">
        <f t="shared" si="41"/>
        <v>244478</v>
      </c>
      <c r="K74" s="108">
        <f t="shared" si="41"/>
        <v>244478</v>
      </c>
      <c r="L74" s="108">
        <f t="shared" si="41"/>
        <v>0</v>
      </c>
      <c r="M74" s="108">
        <f t="shared" si="41"/>
        <v>244478</v>
      </c>
      <c r="N74" s="82">
        <f t="shared" si="41"/>
        <v>0</v>
      </c>
      <c r="O74" s="82" t="e">
        <f t="shared" si="41"/>
        <v>#DIV/0!</v>
      </c>
      <c r="P74" s="71">
        <f t="shared" ref="P74:P147" si="42">J74-M74</f>
        <v>0</v>
      </c>
      <c r="Q74" s="35">
        <f t="shared" ref="Q74:Q147" si="43">H74-J74</f>
        <v>70058</v>
      </c>
      <c r="R74" s="72">
        <v>1103645</v>
      </c>
      <c r="S74" s="72">
        <f t="shared" ref="S74:S147" si="44">G74-M74</f>
        <v>70058</v>
      </c>
      <c r="T74" s="62"/>
    </row>
    <row r="75" spans="1:20" s="73" customFormat="1">
      <c r="A75" s="8"/>
      <c r="B75" s="8"/>
      <c r="C75" s="8"/>
      <c r="D75" s="45"/>
      <c r="E75" s="45"/>
      <c r="F75" s="47" t="s">
        <v>46</v>
      </c>
      <c r="G75" s="83"/>
      <c r="H75" s="83"/>
      <c r="I75" s="83"/>
      <c r="J75" s="75">
        <f t="shared" ref="J75:J82" si="45">M75</f>
        <v>0</v>
      </c>
      <c r="K75" s="35">
        <f>'1.04.'!M75</f>
        <v>0</v>
      </c>
      <c r="L75" s="35"/>
      <c r="M75" s="80">
        <f t="shared" ref="M75:M82" si="46">K75+L75</f>
        <v>0</v>
      </c>
      <c r="N75" s="35">
        <f t="shared" ref="N75:N82" si="47">I75-M75</f>
        <v>0</v>
      </c>
      <c r="O75" s="70" t="e">
        <f t="shared" ref="O75:O82" si="48">M75/I75*100</f>
        <v>#DIV/0!</v>
      </c>
      <c r="P75" s="71">
        <f t="shared" si="42"/>
        <v>0</v>
      </c>
      <c r="Q75" s="35">
        <f t="shared" si="43"/>
        <v>0</v>
      </c>
      <c r="R75" s="72">
        <v>1103646</v>
      </c>
      <c r="S75" s="72">
        <f t="shared" si="44"/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8</v>
      </c>
      <c r="G76" s="83"/>
      <c r="H76" s="83"/>
      <c r="I76" s="83"/>
      <c r="J76" s="75">
        <f t="shared" si="45"/>
        <v>0</v>
      </c>
      <c r="K76" s="35">
        <f>'1.04.'!M76</f>
        <v>0</v>
      </c>
      <c r="L76" s="35"/>
      <c r="M76" s="80">
        <f t="shared" si="46"/>
        <v>0</v>
      </c>
      <c r="N76" s="35">
        <f t="shared" si="47"/>
        <v>0</v>
      </c>
      <c r="O76" s="70" t="e">
        <f t="shared" si="48"/>
        <v>#DIV/0!</v>
      </c>
      <c r="P76" s="71">
        <f t="shared" si="42"/>
        <v>0</v>
      </c>
      <c r="Q76" s="35">
        <f t="shared" si="43"/>
        <v>0</v>
      </c>
      <c r="R76" s="72">
        <v>1103647</v>
      </c>
      <c r="S76" s="72">
        <f t="shared" si="44"/>
        <v>0</v>
      </c>
      <c r="T76" s="62"/>
    </row>
    <row r="77" spans="1:20" s="73" customFormat="1">
      <c r="A77" s="8"/>
      <c r="B77" s="8"/>
      <c r="C77" s="8"/>
      <c r="D77" s="45"/>
      <c r="E77" s="45"/>
      <c r="F77" s="49" t="s">
        <v>9</v>
      </c>
      <c r="G77" s="83"/>
      <c r="H77" s="83"/>
      <c r="I77" s="83"/>
      <c r="J77" s="75">
        <f t="shared" si="45"/>
        <v>0</v>
      </c>
      <c r="K77" s="35">
        <f>'1.04.'!M77</f>
        <v>0</v>
      </c>
      <c r="L77" s="35"/>
      <c r="M77" s="80">
        <f t="shared" si="46"/>
        <v>0</v>
      </c>
      <c r="N77" s="35">
        <f t="shared" si="47"/>
        <v>0</v>
      </c>
      <c r="O77" s="70" t="e">
        <f t="shared" si="48"/>
        <v>#DIV/0!</v>
      </c>
      <c r="P77" s="71">
        <f t="shared" si="42"/>
        <v>0</v>
      </c>
      <c r="Q77" s="35">
        <f t="shared" si="43"/>
        <v>0</v>
      </c>
      <c r="R77" s="72">
        <v>1103648</v>
      </c>
      <c r="S77" s="72">
        <f t="shared" si="44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10</v>
      </c>
      <c r="G78" s="83"/>
      <c r="H78" s="83"/>
      <c r="I78" s="83"/>
      <c r="J78" s="75">
        <f t="shared" si="45"/>
        <v>0</v>
      </c>
      <c r="K78" s="35">
        <f>'1.04.'!M78</f>
        <v>0</v>
      </c>
      <c r="L78" s="35"/>
      <c r="M78" s="80">
        <f t="shared" si="46"/>
        <v>0</v>
      </c>
      <c r="N78" s="35">
        <f t="shared" si="47"/>
        <v>0</v>
      </c>
      <c r="O78" s="70" t="e">
        <f t="shared" si="48"/>
        <v>#DIV/0!</v>
      </c>
      <c r="P78" s="71">
        <f t="shared" si="42"/>
        <v>0</v>
      </c>
      <c r="Q78" s="35">
        <f t="shared" si="43"/>
        <v>0</v>
      </c>
      <c r="R78" s="72">
        <v>1103649</v>
      </c>
      <c r="S78" s="72">
        <f t="shared" si="44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47</v>
      </c>
      <c r="G79" s="83"/>
      <c r="H79" s="83"/>
      <c r="I79" s="83"/>
      <c r="J79" s="75">
        <f t="shared" si="45"/>
        <v>0</v>
      </c>
      <c r="K79" s="35">
        <f>'1.04.'!M79</f>
        <v>0</v>
      </c>
      <c r="L79" s="35"/>
      <c r="M79" s="80">
        <f t="shared" si="46"/>
        <v>0</v>
      </c>
      <c r="N79" s="35">
        <f t="shared" si="47"/>
        <v>0</v>
      </c>
      <c r="O79" s="70" t="e">
        <f t="shared" si="48"/>
        <v>#DIV/0!</v>
      </c>
      <c r="P79" s="71">
        <f t="shared" si="42"/>
        <v>0</v>
      </c>
      <c r="Q79" s="35">
        <f t="shared" si="43"/>
        <v>0</v>
      </c>
      <c r="R79" s="72">
        <v>1103650</v>
      </c>
      <c r="S79" s="72">
        <f t="shared" si="44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48</v>
      </c>
      <c r="G80" s="83"/>
      <c r="H80" s="83"/>
      <c r="I80" s="83"/>
      <c r="J80" s="75">
        <f t="shared" si="45"/>
        <v>0</v>
      </c>
      <c r="K80" s="35">
        <f>'1.04.'!M80</f>
        <v>0</v>
      </c>
      <c r="L80" s="35"/>
      <c r="M80" s="80">
        <f t="shared" si="46"/>
        <v>0</v>
      </c>
      <c r="N80" s="35">
        <f t="shared" si="47"/>
        <v>0</v>
      </c>
      <c r="O80" s="70" t="e">
        <f t="shared" si="48"/>
        <v>#DIV/0!</v>
      </c>
      <c r="P80" s="71">
        <f t="shared" si="42"/>
        <v>0</v>
      </c>
      <c r="Q80" s="35">
        <f t="shared" si="43"/>
        <v>0</v>
      </c>
      <c r="R80" s="72">
        <v>1103651</v>
      </c>
      <c r="S80" s="72">
        <f t="shared" si="44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12</v>
      </c>
      <c r="G81" s="83">
        <v>314536</v>
      </c>
      <c r="H81" s="83">
        <v>314536</v>
      </c>
      <c r="I81" s="83">
        <f>125000+119478</f>
        <v>244478</v>
      </c>
      <c r="J81" s="75">
        <f t="shared" si="45"/>
        <v>244478</v>
      </c>
      <c r="K81" s="35">
        <f>'1.04.'!M81</f>
        <v>244478</v>
      </c>
      <c r="L81" s="35"/>
      <c r="M81" s="80">
        <f t="shared" si="46"/>
        <v>244478</v>
      </c>
      <c r="N81" s="35">
        <f t="shared" si="47"/>
        <v>0</v>
      </c>
      <c r="O81" s="70">
        <f t="shared" si="48"/>
        <v>100</v>
      </c>
      <c r="P81" s="71">
        <f t="shared" si="42"/>
        <v>0</v>
      </c>
      <c r="Q81" s="35">
        <f t="shared" si="43"/>
        <v>70058</v>
      </c>
      <c r="R81" s="72">
        <v>1103652</v>
      </c>
      <c r="S81" s="72">
        <f t="shared" si="44"/>
        <v>70058</v>
      </c>
      <c r="T81" s="62"/>
    </row>
    <row r="82" spans="1:20" s="73" customFormat="1">
      <c r="A82" s="8"/>
      <c r="B82" s="8"/>
      <c r="C82" s="8"/>
      <c r="D82" s="45"/>
      <c r="E82" s="45"/>
      <c r="F82" s="49" t="s">
        <v>11</v>
      </c>
      <c r="G82" s="83"/>
      <c r="H82" s="83"/>
      <c r="I82" s="83"/>
      <c r="J82" s="75">
        <f t="shared" si="45"/>
        <v>0</v>
      </c>
      <c r="K82" s="35">
        <f>'1.04.'!M82</f>
        <v>0</v>
      </c>
      <c r="L82" s="35"/>
      <c r="M82" s="80">
        <f t="shared" si="46"/>
        <v>0</v>
      </c>
      <c r="N82" s="35">
        <f t="shared" si="47"/>
        <v>0</v>
      </c>
      <c r="O82" s="70" t="e">
        <f t="shared" si="48"/>
        <v>#DIV/0!</v>
      </c>
      <c r="P82" s="71">
        <f t="shared" si="42"/>
        <v>0</v>
      </c>
      <c r="Q82" s="35">
        <f t="shared" si="43"/>
        <v>0</v>
      </c>
      <c r="R82" s="72">
        <v>1103653</v>
      </c>
      <c r="S82" s="72">
        <f t="shared" si="44"/>
        <v>0</v>
      </c>
      <c r="T82" s="62"/>
    </row>
    <row r="83" spans="1:20" s="73" customFormat="1" ht="38.25">
      <c r="A83" s="8"/>
      <c r="B83" s="8"/>
      <c r="C83" s="8"/>
      <c r="D83" s="45"/>
      <c r="E83" s="45"/>
      <c r="F83" s="51" t="s">
        <v>59</v>
      </c>
      <c r="G83" s="82">
        <f>SUM(G84:G91)</f>
        <v>293942</v>
      </c>
      <c r="H83" s="82">
        <f t="shared" ref="H83:O83" si="49">SUM(H84:H91)</f>
        <v>117083</v>
      </c>
      <c r="I83" s="82">
        <f t="shared" si="49"/>
        <v>117083</v>
      </c>
      <c r="J83" s="108">
        <f t="shared" si="49"/>
        <v>117083</v>
      </c>
      <c r="K83" s="108">
        <f t="shared" si="49"/>
        <v>64601</v>
      </c>
      <c r="L83" s="108">
        <f t="shared" si="49"/>
        <v>52482</v>
      </c>
      <c r="M83" s="108">
        <f t="shared" si="49"/>
        <v>117083</v>
      </c>
      <c r="N83" s="82">
        <f t="shared" si="49"/>
        <v>0</v>
      </c>
      <c r="O83" s="82">
        <f t="shared" si="49"/>
        <v>800</v>
      </c>
      <c r="P83" s="71">
        <f t="shared" si="42"/>
        <v>0</v>
      </c>
      <c r="Q83" s="35">
        <f t="shared" si="43"/>
        <v>0</v>
      </c>
      <c r="R83" s="72">
        <v>1103654</v>
      </c>
      <c r="S83" s="72">
        <f t="shared" si="44"/>
        <v>176859</v>
      </c>
      <c r="T83" s="62"/>
    </row>
    <row r="84" spans="1:20" s="73" customFormat="1">
      <c r="A84" s="8"/>
      <c r="B84" s="8"/>
      <c r="C84" s="8"/>
      <c r="D84" s="45"/>
      <c r="E84" s="45"/>
      <c r="F84" s="47" t="s">
        <v>46</v>
      </c>
      <c r="G84" s="83">
        <v>188942</v>
      </c>
      <c r="H84" s="83">
        <f>20908+10000+29084</f>
        <v>59992</v>
      </c>
      <c r="I84" s="83">
        <f>H84</f>
        <v>59992</v>
      </c>
      <c r="J84" s="75">
        <f t="shared" ref="J84:J91" si="50">M84</f>
        <v>59992</v>
      </c>
      <c r="K84" s="35">
        <f>'1.04.'!M84</f>
        <v>30908</v>
      </c>
      <c r="L84" s="35">
        <v>29084</v>
      </c>
      <c r="M84" s="80">
        <f t="shared" ref="M84:M91" si="51">K84+L84</f>
        <v>59992</v>
      </c>
      <c r="N84" s="35">
        <f t="shared" ref="N84:N91" si="52">I84-M84</f>
        <v>0</v>
      </c>
      <c r="O84" s="70">
        <f t="shared" ref="O84:O157" si="53">M84/I84*100</f>
        <v>100</v>
      </c>
      <c r="P84" s="71">
        <f t="shared" si="42"/>
        <v>0</v>
      </c>
      <c r="Q84" s="35">
        <f t="shared" si="43"/>
        <v>0</v>
      </c>
      <c r="R84" s="72">
        <v>1103655</v>
      </c>
      <c r="S84" s="72">
        <f t="shared" si="44"/>
        <v>128950</v>
      </c>
      <c r="T84" s="62"/>
    </row>
    <row r="85" spans="1:20" s="73" customFormat="1">
      <c r="A85" s="8"/>
      <c r="B85" s="8"/>
      <c r="C85" s="8"/>
      <c r="D85" s="45"/>
      <c r="E85" s="45"/>
      <c r="F85" s="47" t="s">
        <v>8</v>
      </c>
      <c r="G85" s="83">
        <v>15000</v>
      </c>
      <c r="H85" s="83">
        <f>6986+7406</f>
        <v>14392</v>
      </c>
      <c r="I85" s="83">
        <f t="shared" ref="I85:I91" si="54">H85</f>
        <v>14392</v>
      </c>
      <c r="J85" s="75">
        <f t="shared" si="50"/>
        <v>14392</v>
      </c>
      <c r="K85" s="35">
        <f>'1.04.'!M85</f>
        <v>6986</v>
      </c>
      <c r="L85" s="35">
        <v>7406</v>
      </c>
      <c r="M85" s="80">
        <f t="shared" si="51"/>
        <v>14392</v>
      </c>
      <c r="N85" s="35">
        <f t="shared" si="52"/>
        <v>0</v>
      </c>
      <c r="O85" s="70">
        <f t="shared" si="53"/>
        <v>100</v>
      </c>
      <c r="P85" s="71">
        <f t="shared" si="42"/>
        <v>0</v>
      </c>
      <c r="Q85" s="35">
        <f t="shared" si="43"/>
        <v>0</v>
      </c>
      <c r="R85" s="72">
        <v>1103656</v>
      </c>
      <c r="S85" s="72">
        <f t="shared" si="44"/>
        <v>608</v>
      </c>
      <c r="T85" s="62"/>
    </row>
    <row r="86" spans="1:20" s="73" customFormat="1">
      <c r="A86" s="8"/>
      <c r="B86" s="8"/>
      <c r="C86" s="8"/>
      <c r="D86" s="45"/>
      <c r="E86" s="45"/>
      <c r="F86" s="49" t="s">
        <v>9</v>
      </c>
      <c r="G86" s="83">
        <v>15000</v>
      </c>
      <c r="H86" s="83">
        <f>3950+6105+1105</f>
        <v>11160</v>
      </c>
      <c r="I86" s="83">
        <f t="shared" si="54"/>
        <v>11160</v>
      </c>
      <c r="J86" s="75">
        <f t="shared" si="50"/>
        <v>11160</v>
      </c>
      <c r="K86" s="35">
        <f>'1.04.'!M86</f>
        <v>10055</v>
      </c>
      <c r="L86" s="35">
        <v>1105</v>
      </c>
      <c r="M86" s="80">
        <f t="shared" si="51"/>
        <v>11160</v>
      </c>
      <c r="N86" s="35">
        <f t="shared" si="52"/>
        <v>0</v>
      </c>
      <c r="O86" s="70">
        <f t="shared" si="53"/>
        <v>100</v>
      </c>
      <c r="P86" s="71">
        <f t="shared" si="42"/>
        <v>0</v>
      </c>
      <c r="Q86" s="35">
        <f t="shared" si="43"/>
        <v>0</v>
      </c>
      <c r="R86" s="72">
        <v>1103657</v>
      </c>
      <c r="S86" s="72">
        <f t="shared" si="44"/>
        <v>3840</v>
      </c>
      <c r="T86" s="62"/>
    </row>
    <row r="87" spans="1:20" s="73" customFormat="1">
      <c r="A87" s="8"/>
      <c r="B87" s="8"/>
      <c r="C87" s="8"/>
      <c r="D87" s="45"/>
      <c r="E87" s="45"/>
      <c r="F87" s="49" t="s">
        <v>10</v>
      </c>
      <c r="G87" s="83">
        <v>15000</v>
      </c>
      <c r="H87" s="83">
        <f>1000+1500</f>
        <v>2500</v>
      </c>
      <c r="I87" s="83">
        <f t="shared" si="54"/>
        <v>2500</v>
      </c>
      <c r="J87" s="75">
        <f t="shared" si="50"/>
        <v>2500</v>
      </c>
      <c r="K87" s="35">
        <f>'1.04.'!M87</f>
        <v>1000</v>
      </c>
      <c r="L87" s="35">
        <v>1500</v>
      </c>
      <c r="M87" s="80">
        <f t="shared" si="51"/>
        <v>2500</v>
      </c>
      <c r="N87" s="35">
        <f t="shared" si="52"/>
        <v>0</v>
      </c>
      <c r="O87" s="70">
        <f t="shared" si="53"/>
        <v>100</v>
      </c>
      <c r="P87" s="71">
        <f t="shared" si="42"/>
        <v>0</v>
      </c>
      <c r="Q87" s="35">
        <f t="shared" si="43"/>
        <v>0</v>
      </c>
      <c r="R87" s="72">
        <v>1103658</v>
      </c>
      <c r="S87" s="72">
        <f t="shared" si="44"/>
        <v>12500</v>
      </c>
      <c r="T87" s="62"/>
    </row>
    <row r="88" spans="1:20" s="73" customFormat="1">
      <c r="A88" s="8"/>
      <c r="B88" s="8"/>
      <c r="C88" s="8"/>
      <c r="D88" s="45"/>
      <c r="E88" s="45"/>
      <c r="F88" s="49" t="s">
        <v>47</v>
      </c>
      <c r="G88" s="83">
        <v>15000</v>
      </c>
      <c r="H88" s="83">
        <f>2500+1250+1250</f>
        <v>5000</v>
      </c>
      <c r="I88" s="83">
        <f t="shared" si="54"/>
        <v>5000</v>
      </c>
      <c r="J88" s="75">
        <f t="shared" si="50"/>
        <v>5000</v>
      </c>
      <c r="K88" s="35">
        <f>'1.04.'!M88</f>
        <v>3750</v>
      </c>
      <c r="L88" s="35">
        <v>1250</v>
      </c>
      <c r="M88" s="80">
        <f t="shared" si="51"/>
        <v>5000</v>
      </c>
      <c r="N88" s="35">
        <f t="shared" si="52"/>
        <v>0</v>
      </c>
      <c r="O88" s="70">
        <f t="shared" si="53"/>
        <v>100</v>
      </c>
      <c r="P88" s="71">
        <f t="shared" si="42"/>
        <v>0</v>
      </c>
      <c r="Q88" s="35">
        <f t="shared" si="43"/>
        <v>0</v>
      </c>
      <c r="R88" s="72">
        <v>1103659</v>
      </c>
      <c r="S88" s="72">
        <f t="shared" si="44"/>
        <v>10000</v>
      </c>
      <c r="T88" s="62"/>
    </row>
    <row r="89" spans="1:20" s="73" customFormat="1">
      <c r="A89" s="8"/>
      <c r="B89" s="8"/>
      <c r="C89" s="8"/>
      <c r="D89" s="45"/>
      <c r="E89" s="45"/>
      <c r="F89" s="49" t="s">
        <v>48</v>
      </c>
      <c r="G89" s="83">
        <v>15000</v>
      </c>
      <c r="H89" s="83">
        <f>5000+5000</f>
        <v>10000</v>
      </c>
      <c r="I89" s="83">
        <f t="shared" si="54"/>
        <v>10000</v>
      </c>
      <c r="J89" s="75">
        <f t="shared" si="50"/>
        <v>10000</v>
      </c>
      <c r="K89" s="35">
        <f>'1.04.'!M89</f>
        <v>5000</v>
      </c>
      <c r="L89" s="35">
        <v>5000</v>
      </c>
      <c r="M89" s="80">
        <f t="shared" si="51"/>
        <v>10000</v>
      </c>
      <c r="N89" s="35">
        <f t="shared" si="52"/>
        <v>0</v>
      </c>
      <c r="O89" s="70">
        <f t="shared" si="53"/>
        <v>100</v>
      </c>
      <c r="P89" s="71">
        <f t="shared" si="42"/>
        <v>0</v>
      </c>
      <c r="Q89" s="35">
        <f t="shared" si="43"/>
        <v>0</v>
      </c>
      <c r="R89" s="72">
        <v>1103660</v>
      </c>
      <c r="S89" s="72">
        <f t="shared" si="44"/>
        <v>5000</v>
      </c>
      <c r="T89" s="62"/>
    </row>
    <row r="90" spans="1:20" s="73" customFormat="1">
      <c r="A90" s="8"/>
      <c r="B90" s="8"/>
      <c r="C90" s="8"/>
      <c r="D90" s="45"/>
      <c r="E90" s="45"/>
      <c r="F90" s="49" t="s">
        <v>12</v>
      </c>
      <c r="G90" s="83">
        <v>15000</v>
      </c>
      <c r="H90" s="83">
        <f>1000+1000+1000</f>
        <v>3000</v>
      </c>
      <c r="I90" s="83">
        <f t="shared" si="54"/>
        <v>3000</v>
      </c>
      <c r="J90" s="75">
        <f t="shared" si="50"/>
        <v>3000</v>
      </c>
      <c r="K90" s="35">
        <f>'1.04.'!M90</f>
        <v>2000</v>
      </c>
      <c r="L90" s="35">
        <v>1000</v>
      </c>
      <c r="M90" s="80">
        <f t="shared" si="51"/>
        <v>3000</v>
      </c>
      <c r="N90" s="35">
        <f t="shared" si="52"/>
        <v>0</v>
      </c>
      <c r="O90" s="70">
        <f t="shared" si="53"/>
        <v>100</v>
      </c>
      <c r="P90" s="71">
        <f t="shared" si="42"/>
        <v>0</v>
      </c>
      <c r="Q90" s="35">
        <f t="shared" si="43"/>
        <v>0</v>
      </c>
      <c r="R90" s="72">
        <v>1103661</v>
      </c>
      <c r="S90" s="72">
        <f t="shared" si="44"/>
        <v>12000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11</v>
      </c>
      <c r="G91" s="83">
        <v>15000</v>
      </c>
      <c r="H91" s="83">
        <f>1440+3462+6137</f>
        <v>11039</v>
      </c>
      <c r="I91" s="83">
        <f t="shared" si="54"/>
        <v>11039</v>
      </c>
      <c r="J91" s="75">
        <f t="shared" si="50"/>
        <v>11039</v>
      </c>
      <c r="K91" s="35">
        <f>'1.04.'!M91</f>
        <v>4902</v>
      </c>
      <c r="L91" s="35">
        <v>6137</v>
      </c>
      <c r="M91" s="80">
        <f t="shared" si="51"/>
        <v>11039</v>
      </c>
      <c r="N91" s="35">
        <f t="shared" si="52"/>
        <v>0</v>
      </c>
      <c r="O91" s="70">
        <f t="shared" si="53"/>
        <v>100</v>
      </c>
      <c r="P91" s="71">
        <f t="shared" si="42"/>
        <v>0</v>
      </c>
      <c r="Q91" s="35">
        <f t="shared" si="43"/>
        <v>0</v>
      </c>
      <c r="R91" s="72">
        <v>1103662</v>
      </c>
      <c r="S91" s="72">
        <f t="shared" si="44"/>
        <v>3961</v>
      </c>
      <c r="T91" s="62"/>
    </row>
    <row r="92" spans="1:20" s="73" customFormat="1">
      <c r="A92" s="8"/>
      <c r="B92" s="8"/>
      <c r="C92" s="8"/>
      <c r="D92" s="45"/>
      <c r="E92" s="45"/>
      <c r="F92" s="51" t="s">
        <v>65</v>
      </c>
      <c r="G92" s="82">
        <f>SUM(G93:G100)</f>
        <v>130000</v>
      </c>
      <c r="H92" s="82">
        <f t="shared" ref="H92:N92" si="55">SUM(H93:H100)</f>
        <v>1616</v>
      </c>
      <c r="I92" s="82">
        <f t="shared" si="55"/>
        <v>1616</v>
      </c>
      <c r="J92" s="108">
        <f t="shared" si="55"/>
        <v>1616</v>
      </c>
      <c r="K92" s="108">
        <f t="shared" si="55"/>
        <v>0</v>
      </c>
      <c r="L92" s="108">
        <f t="shared" si="55"/>
        <v>1616</v>
      </c>
      <c r="M92" s="108">
        <f t="shared" si="55"/>
        <v>1616</v>
      </c>
      <c r="N92" s="108">
        <f t="shared" si="55"/>
        <v>0</v>
      </c>
      <c r="O92" s="82" t="e">
        <f t="shared" ref="O92" si="56">SUM(O93:O100)</f>
        <v>#DIV/0!</v>
      </c>
      <c r="P92" s="71">
        <f t="shared" si="42"/>
        <v>0</v>
      </c>
      <c r="Q92" s="35">
        <f t="shared" si="43"/>
        <v>0</v>
      </c>
      <c r="R92" s="72">
        <v>1103654</v>
      </c>
      <c r="S92" s="72">
        <f t="shared" si="44"/>
        <v>128384</v>
      </c>
      <c r="T92" s="62"/>
    </row>
    <row r="93" spans="1:20" s="73" customFormat="1">
      <c r="A93" s="8"/>
      <c r="B93" s="8"/>
      <c r="C93" s="8"/>
      <c r="D93" s="45"/>
      <c r="E93" s="45"/>
      <c r="F93" s="47" t="s">
        <v>46</v>
      </c>
      <c r="G93" s="48">
        <v>86229</v>
      </c>
      <c r="H93" s="83"/>
      <c r="I93" s="83"/>
      <c r="J93" s="75">
        <f t="shared" ref="J93:J100" si="57">M93</f>
        <v>0</v>
      </c>
      <c r="K93" s="35">
        <f>'1.04.'!M93</f>
        <v>0</v>
      </c>
      <c r="L93" s="35"/>
      <c r="M93" s="80">
        <f t="shared" ref="M93:M100" si="58">K93+L93</f>
        <v>0</v>
      </c>
      <c r="N93" s="35">
        <f t="shared" ref="N93:N100" si="59">I93-M93</f>
        <v>0</v>
      </c>
      <c r="O93" s="70" t="e">
        <f t="shared" ref="O93:O100" si="60">M93/I93*100</f>
        <v>#DIV/0!</v>
      </c>
      <c r="P93" s="71">
        <f t="shared" si="42"/>
        <v>0</v>
      </c>
      <c r="Q93" s="35">
        <f t="shared" si="43"/>
        <v>0</v>
      </c>
      <c r="R93" s="72">
        <v>1103655</v>
      </c>
      <c r="S93" s="72">
        <f t="shared" si="44"/>
        <v>86229</v>
      </c>
      <c r="T93" s="62"/>
    </row>
    <row r="94" spans="1:20" s="73" customFormat="1">
      <c r="A94" s="8"/>
      <c r="B94" s="8"/>
      <c r="C94" s="8"/>
      <c r="D94" s="45"/>
      <c r="E94" s="45"/>
      <c r="F94" s="47" t="s">
        <v>8</v>
      </c>
      <c r="G94" s="48">
        <v>4898</v>
      </c>
      <c r="H94" s="83">
        <v>616</v>
      </c>
      <c r="I94" s="83">
        <v>616</v>
      </c>
      <c r="J94" s="75">
        <f t="shared" si="57"/>
        <v>616</v>
      </c>
      <c r="K94" s="35">
        <f>'1.04.'!M94</f>
        <v>0</v>
      </c>
      <c r="L94" s="35">
        <v>616</v>
      </c>
      <c r="M94" s="80">
        <f t="shared" si="58"/>
        <v>616</v>
      </c>
      <c r="N94" s="35">
        <f t="shared" si="59"/>
        <v>0</v>
      </c>
      <c r="O94" s="70">
        <f t="shared" si="60"/>
        <v>100</v>
      </c>
      <c r="P94" s="71">
        <f t="shared" si="42"/>
        <v>0</v>
      </c>
      <c r="Q94" s="35">
        <f t="shared" si="43"/>
        <v>0</v>
      </c>
      <c r="R94" s="72">
        <v>1103656</v>
      </c>
      <c r="S94" s="72">
        <f t="shared" si="44"/>
        <v>4282</v>
      </c>
      <c r="T94" s="62"/>
    </row>
    <row r="95" spans="1:20" s="73" customFormat="1">
      <c r="A95" s="8"/>
      <c r="B95" s="8"/>
      <c r="C95" s="8"/>
      <c r="D95" s="45"/>
      <c r="E95" s="45"/>
      <c r="F95" s="49" t="s">
        <v>9</v>
      </c>
      <c r="G95" s="48">
        <v>3290</v>
      </c>
      <c r="H95" s="83"/>
      <c r="I95" s="83"/>
      <c r="J95" s="75">
        <f t="shared" si="57"/>
        <v>0</v>
      </c>
      <c r="K95" s="35">
        <f>'1.04.'!M95</f>
        <v>0</v>
      </c>
      <c r="L95" s="35"/>
      <c r="M95" s="80">
        <f t="shared" si="58"/>
        <v>0</v>
      </c>
      <c r="N95" s="35">
        <f t="shared" si="59"/>
        <v>0</v>
      </c>
      <c r="O95" s="70" t="e">
        <f t="shared" si="60"/>
        <v>#DIV/0!</v>
      </c>
      <c r="P95" s="71">
        <f t="shared" si="42"/>
        <v>0</v>
      </c>
      <c r="Q95" s="35">
        <f t="shared" si="43"/>
        <v>0</v>
      </c>
      <c r="R95" s="72">
        <v>1103657</v>
      </c>
      <c r="S95" s="72">
        <f t="shared" si="44"/>
        <v>3290</v>
      </c>
      <c r="T95" s="62"/>
    </row>
    <row r="96" spans="1:20" s="73" customFormat="1">
      <c r="A96" s="8"/>
      <c r="B96" s="8"/>
      <c r="C96" s="8"/>
      <c r="D96" s="45"/>
      <c r="E96" s="45"/>
      <c r="F96" s="49" t="s">
        <v>10</v>
      </c>
      <c r="G96" s="48">
        <v>3918</v>
      </c>
      <c r="H96" s="83"/>
      <c r="I96" s="83"/>
      <c r="J96" s="75">
        <f t="shared" si="57"/>
        <v>0</v>
      </c>
      <c r="K96" s="35">
        <f>'1.04.'!M96</f>
        <v>0</v>
      </c>
      <c r="L96" s="35"/>
      <c r="M96" s="80">
        <f t="shared" si="58"/>
        <v>0</v>
      </c>
      <c r="N96" s="35">
        <f t="shared" si="59"/>
        <v>0</v>
      </c>
      <c r="O96" s="70" t="e">
        <f t="shared" si="60"/>
        <v>#DIV/0!</v>
      </c>
      <c r="P96" s="71">
        <f t="shared" si="42"/>
        <v>0</v>
      </c>
      <c r="Q96" s="35">
        <f t="shared" si="43"/>
        <v>0</v>
      </c>
      <c r="R96" s="72">
        <v>1103658</v>
      </c>
      <c r="S96" s="72">
        <f t="shared" si="44"/>
        <v>3918</v>
      </c>
      <c r="T96" s="62"/>
    </row>
    <row r="97" spans="1:20" s="73" customFormat="1">
      <c r="A97" s="8"/>
      <c r="B97" s="8"/>
      <c r="C97" s="8"/>
      <c r="D97" s="45"/>
      <c r="E97" s="45"/>
      <c r="F97" s="49" t="s">
        <v>47</v>
      </c>
      <c r="G97" s="48">
        <v>4017</v>
      </c>
      <c r="H97" s="83"/>
      <c r="I97" s="83"/>
      <c r="J97" s="75">
        <f t="shared" si="57"/>
        <v>0</v>
      </c>
      <c r="K97" s="35">
        <f>'1.04.'!M97</f>
        <v>0</v>
      </c>
      <c r="L97" s="35"/>
      <c r="M97" s="80">
        <f t="shared" si="58"/>
        <v>0</v>
      </c>
      <c r="N97" s="35">
        <f t="shared" si="59"/>
        <v>0</v>
      </c>
      <c r="O97" s="70" t="e">
        <f t="shared" si="60"/>
        <v>#DIV/0!</v>
      </c>
      <c r="P97" s="71">
        <f t="shared" si="42"/>
        <v>0</v>
      </c>
      <c r="Q97" s="35">
        <f t="shared" si="43"/>
        <v>0</v>
      </c>
      <c r="R97" s="72">
        <v>1103659</v>
      </c>
      <c r="S97" s="72">
        <f t="shared" si="44"/>
        <v>4017</v>
      </c>
      <c r="T97" s="62"/>
    </row>
    <row r="98" spans="1:20" s="73" customFormat="1">
      <c r="A98" s="8"/>
      <c r="B98" s="8"/>
      <c r="C98" s="8"/>
      <c r="D98" s="45"/>
      <c r="E98" s="45"/>
      <c r="F98" s="49" t="s">
        <v>48</v>
      </c>
      <c r="G98" s="48">
        <v>12606</v>
      </c>
      <c r="H98" s="83"/>
      <c r="I98" s="83"/>
      <c r="J98" s="75">
        <f t="shared" si="57"/>
        <v>0</v>
      </c>
      <c r="K98" s="35">
        <f>'1.04.'!M98</f>
        <v>0</v>
      </c>
      <c r="L98" s="35"/>
      <c r="M98" s="80">
        <f t="shared" si="58"/>
        <v>0</v>
      </c>
      <c r="N98" s="35">
        <f t="shared" si="59"/>
        <v>0</v>
      </c>
      <c r="O98" s="70" t="e">
        <f t="shared" si="60"/>
        <v>#DIV/0!</v>
      </c>
      <c r="P98" s="71">
        <f t="shared" si="42"/>
        <v>0</v>
      </c>
      <c r="Q98" s="35">
        <f t="shared" si="43"/>
        <v>0</v>
      </c>
      <c r="R98" s="72">
        <v>1103660</v>
      </c>
      <c r="S98" s="72">
        <f t="shared" si="44"/>
        <v>12606</v>
      </c>
      <c r="T98" s="62"/>
    </row>
    <row r="99" spans="1:20" s="73" customFormat="1">
      <c r="A99" s="8"/>
      <c r="B99" s="8"/>
      <c r="C99" s="8"/>
      <c r="D99" s="45"/>
      <c r="E99" s="45"/>
      <c r="F99" s="49" t="s">
        <v>12</v>
      </c>
      <c r="G99" s="48">
        <v>9417</v>
      </c>
      <c r="H99" s="83">
        <v>1000</v>
      </c>
      <c r="I99" s="83">
        <v>1000</v>
      </c>
      <c r="J99" s="75">
        <f t="shared" si="57"/>
        <v>1000</v>
      </c>
      <c r="K99" s="35">
        <f>'1.04.'!M99</f>
        <v>0</v>
      </c>
      <c r="L99" s="35">
        <v>1000</v>
      </c>
      <c r="M99" s="80">
        <f t="shared" si="58"/>
        <v>1000</v>
      </c>
      <c r="N99" s="35">
        <f t="shared" si="59"/>
        <v>0</v>
      </c>
      <c r="O99" s="70">
        <f t="shared" si="60"/>
        <v>100</v>
      </c>
      <c r="P99" s="71">
        <f t="shared" si="42"/>
        <v>0</v>
      </c>
      <c r="Q99" s="35">
        <f t="shared" si="43"/>
        <v>0</v>
      </c>
      <c r="R99" s="72">
        <v>1103661</v>
      </c>
      <c r="S99" s="72">
        <f t="shared" si="44"/>
        <v>8417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11</v>
      </c>
      <c r="G100" s="48">
        <v>5625</v>
      </c>
      <c r="H100" s="83"/>
      <c r="I100" s="83"/>
      <c r="J100" s="75">
        <f t="shared" si="57"/>
        <v>0</v>
      </c>
      <c r="K100" s="35">
        <f>'1.04.'!M100</f>
        <v>0</v>
      </c>
      <c r="L100" s="35"/>
      <c r="M100" s="80">
        <f t="shared" si="58"/>
        <v>0</v>
      </c>
      <c r="N100" s="35">
        <f t="shared" si="59"/>
        <v>0</v>
      </c>
      <c r="O100" s="70" t="e">
        <f t="shared" si="60"/>
        <v>#DIV/0!</v>
      </c>
      <c r="P100" s="71">
        <f t="shared" si="42"/>
        <v>0</v>
      </c>
      <c r="Q100" s="35">
        <f t="shared" si="43"/>
        <v>0</v>
      </c>
      <c r="R100" s="72">
        <v>1103662</v>
      </c>
      <c r="S100" s="72">
        <f t="shared" si="44"/>
        <v>5625</v>
      </c>
      <c r="T100" s="62"/>
    </row>
    <row r="101" spans="1:20" s="73" customFormat="1" ht="25.5">
      <c r="A101" s="9"/>
      <c r="B101" s="9"/>
      <c r="C101" s="8" t="s">
        <v>13</v>
      </c>
      <c r="D101" s="69"/>
      <c r="E101" s="69"/>
      <c r="F101" s="120" t="s">
        <v>113</v>
      </c>
      <c r="G101" s="23">
        <f>G102</f>
        <v>200616</v>
      </c>
      <c r="H101" s="23">
        <f t="shared" ref="H101:M101" si="61">H102</f>
        <v>0</v>
      </c>
      <c r="I101" s="23">
        <f t="shared" si="61"/>
        <v>0</v>
      </c>
      <c r="J101" s="109">
        <f t="shared" si="61"/>
        <v>0</v>
      </c>
      <c r="K101" s="35">
        <f>'1.02.'!M92</f>
        <v>0</v>
      </c>
      <c r="L101" s="85">
        <f t="shared" si="61"/>
        <v>0</v>
      </c>
      <c r="M101" s="104">
        <f t="shared" si="61"/>
        <v>0</v>
      </c>
      <c r="N101" s="85">
        <f>N102</f>
        <v>0</v>
      </c>
      <c r="O101" s="68" t="e">
        <f t="shared" si="53"/>
        <v>#DIV/0!</v>
      </c>
      <c r="P101" s="71">
        <f t="shared" si="42"/>
        <v>0</v>
      </c>
      <c r="Q101" s="35">
        <f t="shared" si="43"/>
        <v>0</v>
      </c>
      <c r="R101" s="72">
        <v>1103663</v>
      </c>
      <c r="S101" s="72">
        <f t="shared" si="44"/>
        <v>200616</v>
      </c>
      <c r="T101" s="62">
        <f t="shared" ref="T101:T148" si="62">G101-J101</f>
        <v>200616</v>
      </c>
    </row>
    <row r="102" spans="1:20">
      <c r="A102" s="9"/>
      <c r="B102" s="9"/>
      <c r="C102" s="9"/>
      <c r="D102" s="21" t="s">
        <v>7</v>
      </c>
      <c r="E102" s="69"/>
      <c r="F102" s="122" t="s">
        <v>85</v>
      </c>
      <c r="G102" s="56">
        <f>G103+G104</f>
        <v>200616</v>
      </c>
      <c r="H102" s="56">
        <f t="shared" ref="H102:N102" si="63">H103+H104</f>
        <v>0</v>
      </c>
      <c r="I102" s="56">
        <f t="shared" si="63"/>
        <v>0</v>
      </c>
      <c r="J102" s="56">
        <f t="shared" si="63"/>
        <v>0</v>
      </c>
      <c r="K102" s="35">
        <f>'1.02.'!M93</f>
        <v>0</v>
      </c>
      <c r="L102" s="56">
        <f t="shared" si="63"/>
        <v>0</v>
      </c>
      <c r="M102" s="56">
        <f t="shared" si="63"/>
        <v>0</v>
      </c>
      <c r="N102" s="56">
        <f t="shared" si="63"/>
        <v>0</v>
      </c>
      <c r="O102" s="70" t="e">
        <f t="shared" si="53"/>
        <v>#DIV/0!</v>
      </c>
      <c r="P102" s="71">
        <f t="shared" si="42"/>
        <v>0</v>
      </c>
      <c r="Q102" s="35">
        <f t="shared" si="43"/>
        <v>0</v>
      </c>
      <c r="R102" s="72">
        <v>1103664</v>
      </c>
      <c r="S102" s="72">
        <f t="shared" si="44"/>
        <v>200616</v>
      </c>
      <c r="T102" s="62">
        <f t="shared" si="62"/>
        <v>200616</v>
      </c>
    </row>
    <row r="103" spans="1:20">
      <c r="A103" s="9"/>
      <c r="B103" s="9"/>
      <c r="C103" s="9"/>
      <c r="D103" s="69"/>
      <c r="E103" s="69">
        <v>159</v>
      </c>
      <c r="F103" s="122" t="s">
        <v>84</v>
      </c>
      <c r="G103" s="26">
        <v>200616</v>
      </c>
      <c r="H103" s="37">
        <v>0</v>
      </c>
      <c r="I103" s="37">
        <v>0</v>
      </c>
      <c r="J103" s="110">
        <f>M103</f>
        <v>0</v>
      </c>
      <c r="K103" s="35">
        <f>'1.02.'!M94</f>
        <v>0</v>
      </c>
      <c r="L103" s="80"/>
      <c r="M103" s="80">
        <f>K103+L103</f>
        <v>0</v>
      </c>
      <c r="N103" s="80">
        <f>I103-M103</f>
        <v>0</v>
      </c>
      <c r="O103" s="70" t="e">
        <f t="shared" si="53"/>
        <v>#DIV/0!</v>
      </c>
      <c r="P103" s="71">
        <f t="shared" si="42"/>
        <v>0</v>
      </c>
      <c r="Q103" s="35">
        <f t="shared" si="43"/>
        <v>0</v>
      </c>
      <c r="R103" s="72">
        <v>1103665</v>
      </c>
      <c r="S103" s="72">
        <f t="shared" si="44"/>
        <v>200616</v>
      </c>
      <c r="T103" s="62">
        <f t="shared" si="62"/>
        <v>200616</v>
      </c>
    </row>
    <row r="104" spans="1:20">
      <c r="A104" s="9"/>
      <c r="B104" s="9"/>
      <c r="C104" s="9"/>
      <c r="D104" s="69"/>
      <c r="E104" s="69">
        <v>322</v>
      </c>
      <c r="F104" s="78" t="s">
        <v>154</v>
      </c>
      <c r="G104" s="26"/>
      <c r="H104" s="37"/>
      <c r="I104" s="37"/>
      <c r="J104" s="110">
        <f>M104</f>
        <v>0</v>
      </c>
      <c r="K104" s="35">
        <f>'1.02.'!M95</f>
        <v>0</v>
      </c>
      <c r="L104" s="110"/>
      <c r="M104" s="80">
        <f>K104+L104</f>
        <v>0</v>
      </c>
      <c r="N104" s="80">
        <f>I104-M104</f>
        <v>0</v>
      </c>
      <c r="O104" s="70" t="e">
        <f t="shared" si="53"/>
        <v>#DIV/0!</v>
      </c>
      <c r="P104" s="71">
        <f t="shared" si="42"/>
        <v>0</v>
      </c>
      <c r="Q104" s="35">
        <f t="shared" si="43"/>
        <v>0</v>
      </c>
      <c r="R104" s="72">
        <v>1103666</v>
      </c>
      <c r="S104" s="72">
        <f t="shared" si="44"/>
        <v>0</v>
      </c>
    </row>
    <row r="105" spans="1:20" ht="51">
      <c r="A105" s="9"/>
      <c r="B105" s="9"/>
      <c r="C105" s="17" t="s">
        <v>41</v>
      </c>
      <c r="D105" s="69"/>
      <c r="E105" s="69"/>
      <c r="F105" s="79" t="s">
        <v>128</v>
      </c>
      <c r="G105" s="74">
        <f>G106</f>
        <v>20000</v>
      </c>
      <c r="H105" s="74">
        <f t="shared" ref="H105:O106" si="64">H106</f>
        <v>13390</v>
      </c>
      <c r="I105" s="74">
        <f t="shared" si="64"/>
        <v>3346.7</v>
      </c>
      <c r="J105" s="96">
        <f t="shared" si="64"/>
        <v>13390</v>
      </c>
      <c r="K105" s="35">
        <f>'1.02.'!M96</f>
        <v>0</v>
      </c>
      <c r="L105" s="89">
        <f t="shared" si="64"/>
        <v>1062.5221100000001</v>
      </c>
      <c r="M105" s="89">
        <f t="shared" si="64"/>
        <v>3346.7</v>
      </c>
      <c r="N105" s="91">
        <f t="shared" si="64"/>
        <v>0</v>
      </c>
      <c r="O105" s="74">
        <f t="shared" si="64"/>
        <v>100</v>
      </c>
      <c r="P105" s="71">
        <f t="shared" si="42"/>
        <v>10043.299999999999</v>
      </c>
      <c r="Q105" s="35">
        <f t="shared" si="43"/>
        <v>0</v>
      </c>
      <c r="R105" s="72">
        <v>1103667</v>
      </c>
      <c r="S105" s="72">
        <f t="shared" si="44"/>
        <v>16653.3</v>
      </c>
      <c r="T105" s="62">
        <f>G105-J105</f>
        <v>6610</v>
      </c>
    </row>
    <row r="106" spans="1:20" s="73" customFormat="1">
      <c r="A106" s="8"/>
      <c r="B106" s="8"/>
      <c r="C106" s="8"/>
      <c r="D106" s="17" t="s">
        <v>35</v>
      </c>
      <c r="E106" s="21"/>
      <c r="F106" s="79"/>
      <c r="G106" s="88">
        <f>G107</f>
        <v>20000</v>
      </c>
      <c r="H106" s="74">
        <f t="shared" si="64"/>
        <v>13390</v>
      </c>
      <c r="I106" s="74">
        <f t="shared" si="64"/>
        <v>3346.7</v>
      </c>
      <c r="J106" s="96">
        <f t="shared" si="64"/>
        <v>13390</v>
      </c>
      <c r="K106" s="35">
        <f>'1.02.'!M97</f>
        <v>0</v>
      </c>
      <c r="L106" s="89">
        <f t="shared" si="64"/>
        <v>1062.5221100000001</v>
      </c>
      <c r="M106" s="89">
        <f t="shared" si="64"/>
        <v>3346.7</v>
      </c>
      <c r="N106" s="89">
        <f t="shared" si="64"/>
        <v>0</v>
      </c>
      <c r="O106" s="68">
        <f>M106/I106*100</f>
        <v>100</v>
      </c>
      <c r="P106" s="71">
        <f t="shared" si="42"/>
        <v>10043.299999999999</v>
      </c>
      <c r="Q106" s="35">
        <f t="shared" si="43"/>
        <v>0</v>
      </c>
      <c r="R106" s="72">
        <v>1103668</v>
      </c>
      <c r="S106" s="72">
        <f t="shared" si="44"/>
        <v>16653.3</v>
      </c>
      <c r="T106" s="62">
        <f>G106-J106</f>
        <v>6610</v>
      </c>
    </row>
    <row r="107" spans="1:20">
      <c r="A107" s="9"/>
      <c r="B107" s="9"/>
      <c r="C107" s="9"/>
      <c r="D107" s="69"/>
      <c r="E107" s="69">
        <v>159</v>
      </c>
      <c r="F107" s="78" t="s">
        <v>155</v>
      </c>
      <c r="G107" s="41">
        <v>20000</v>
      </c>
      <c r="H107" s="72">
        <v>13390</v>
      </c>
      <c r="I107" s="72">
        <v>3346.7</v>
      </c>
      <c r="J107" s="94">
        <v>13390</v>
      </c>
      <c r="K107" s="35">
        <f>'1.04.'!M107</f>
        <v>2284.1778899999999</v>
      </c>
      <c r="L107" s="90">
        <v>1062.5221100000001</v>
      </c>
      <c r="M107" s="90">
        <f>K107+L107</f>
        <v>3346.7</v>
      </c>
      <c r="N107" s="90">
        <f>I107-M107</f>
        <v>0</v>
      </c>
      <c r="O107" s="70">
        <f>M107/I107*100</f>
        <v>100</v>
      </c>
      <c r="P107" s="71">
        <f t="shared" si="42"/>
        <v>10043.299999999999</v>
      </c>
      <c r="Q107" s="35">
        <f t="shared" si="43"/>
        <v>0</v>
      </c>
      <c r="R107" s="72">
        <v>1103669</v>
      </c>
      <c r="S107" s="72">
        <f t="shared" si="44"/>
        <v>16653.3</v>
      </c>
      <c r="T107" s="62">
        <f>G107-J107</f>
        <v>6610</v>
      </c>
    </row>
    <row r="108" spans="1:20" s="73" customFormat="1">
      <c r="A108" s="8"/>
      <c r="B108" s="8" t="s">
        <v>24</v>
      </c>
      <c r="C108" s="8"/>
      <c r="D108" s="21"/>
      <c r="E108" s="21"/>
      <c r="F108" s="139" t="s">
        <v>114</v>
      </c>
      <c r="G108" s="59">
        <f t="shared" ref="G108:N109" si="65">G109</f>
        <v>588262</v>
      </c>
      <c r="H108" s="59">
        <f t="shared" si="65"/>
        <v>230800.8</v>
      </c>
      <c r="I108" s="59">
        <f t="shared" si="65"/>
        <v>192320</v>
      </c>
      <c r="J108" s="29">
        <f t="shared" si="65"/>
        <v>218326.18734</v>
      </c>
      <c r="K108" s="29">
        <f>'1.02.'!M99</f>
        <v>46251.970999999998</v>
      </c>
      <c r="L108" s="29">
        <f t="shared" si="65"/>
        <v>41166.520690000005</v>
      </c>
      <c r="M108" s="29">
        <f t="shared" si="65"/>
        <v>181213.83769000001</v>
      </c>
      <c r="N108" s="29">
        <f t="shared" si="65"/>
        <v>11106.162310000005</v>
      </c>
      <c r="O108" s="68">
        <f t="shared" si="53"/>
        <v>94.225165188227962</v>
      </c>
      <c r="P108" s="71">
        <f t="shared" si="42"/>
        <v>37112.349649999989</v>
      </c>
      <c r="Q108" s="35">
        <f t="shared" si="43"/>
        <v>12474.612659999984</v>
      </c>
      <c r="R108" s="72">
        <v>1103670</v>
      </c>
      <c r="S108" s="72">
        <f t="shared" si="44"/>
        <v>407048.16230999999</v>
      </c>
      <c r="T108" s="62">
        <f t="shared" si="62"/>
        <v>369935.81266</v>
      </c>
    </row>
    <row r="109" spans="1:20" ht="76.5">
      <c r="A109" s="8"/>
      <c r="B109" s="8"/>
      <c r="C109" s="17" t="s">
        <v>7</v>
      </c>
      <c r="D109" s="17"/>
      <c r="E109" s="21"/>
      <c r="F109" s="139" t="s">
        <v>115</v>
      </c>
      <c r="G109" s="59">
        <f>G110</f>
        <v>588262</v>
      </c>
      <c r="H109" s="59">
        <f t="shared" si="65"/>
        <v>230800.8</v>
      </c>
      <c r="I109" s="59">
        <f t="shared" si="65"/>
        <v>192320</v>
      </c>
      <c r="J109" s="29">
        <f t="shared" si="65"/>
        <v>218326.18734</v>
      </c>
      <c r="K109" s="29">
        <f>'1.02.'!M100</f>
        <v>46251.970999999998</v>
      </c>
      <c r="L109" s="29">
        <f t="shared" si="65"/>
        <v>41166.520690000005</v>
      </c>
      <c r="M109" s="60">
        <f t="shared" si="65"/>
        <v>181213.83769000001</v>
      </c>
      <c r="N109" s="60">
        <f t="shared" si="65"/>
        <v>11106.162310000005</v>
      </c>
      <c r="O109" s="68">
        <f t="shared" si="53"/>
        <v>94.225165188227962</v>
      </c>
      <c r="P109" s="29">
        <f t="shared" si="42"/>
        <v>37112.349649999989</v>
      </c>
      <c r="Q109" s="29">
        <f t="shared" si="43"/>
        <v>12474.612659999984</v>
      </c>
      <c r="R109" s="74">
        <v>1103671</v>
      </c>
      <c r="S109" s="74">
        <f t="shared" si="44"/>
        <v>407048.16230999999</v>
      </c>
      <c r="T109" s="62">
        <f t="shared" si="62"/>
        <v>369935.81266</v>
      </c>
    </row>
    <row r="110" spans="1:20">
      <c r="A110" s="8"/>
      <c r="B110" s="8"/>
      <c r="C110" s="17"/>
      <c r="D110" s="17" t="s">
        <v>7</v>
      </c>
      <c r="E110" s="10"/>
      <c r="F110" s="140" t="s">
        <v>85</v>
      </c>
      <c r="G110" s="33">
        <f>SUM(G111:G128)</f>
        <v>588262</v>
      </c>
      <c r="H110" s="33">
        <f t="shared" ref="H110:N110" si="66">SUM(H111:H128)</f>
        <v>230800.8</v>
      </c>
      <c r="I110" s="33">
        <f t="shared" si="66"/>
        <v>192320</v>
      </c>
      <c r="J110" s="29">
        <f t="shared" si="66"/>
        <v>218326.18734</v>
      </c>
      <c r="K110" s="29">
        <f t="shared" si="66"/>
        <v>140047.31700000004</v>
      </c>
      <c r="L110" s="29">
        <f t="shared" si="66"/>
        <v>41166.520690000005</v>
      </c>
      <c r="M110" s="29">
        <f t="shared" si="66"/>
        <v>181213.83769000001</v>
      </c>
      <c r="N110" s="29">
        <f t="shared" si="66"/>
        <v>11106.162310000005</v>
      </c>
      <c r="O110" s="68">
        <f t="shared" si="53"/>
        <v>94.225165188227962</v>
      </c>
      <c r="P110" s="71">
        <f t="shared" si="42"/>
        <v>37112.349649999989</v>
      </c>
      <c r="Q110" s="35">
        <f t="shared" si="43"/>
        <v>12474.612659999984</v>
      </c>
      <c r="R110" s="72">
        <v>1103672</v>
      </c>
      <c r="S110" s="72">
        <f t="shared" si="44"/>
        <v>407048.16230999999</v>
      </c>
      <c r="T110" s="62">
        <f t="shared" si="62"/>
        <v>369935.81266</v>
      </c>
    </row>
    <row r="111" spans="1:20">
      <c r="A111" s="8"/>
      <c r="B111" s="8"/>
      <c r="C111" s="8"/>
      <c r="D111" s="21"/>
      <c r="E111" s="69">
        <v>111</v>
      </c>
      <c r="F111" s="136" t="s">
        <v>86</v>
      </c>
      <c r="G111" s="26">
        <v>408393</v>
      </c>
      <c r="H111" s="37">
        <v>120000</v>
      </c>
      <c r="I111" s="37">
        <v>120000</v>
      </c>
      <c r="J111" s="75">
        <f>M111</f>
        <v>118303.91899999999</v>
      </c>
      <c r="K111" s="35">
        <f>'1.04.'!M111</f>
        <v>86987.891999999993</v>
      </c>
      <c r="L111" s="35">
        <f>28325.669+2990.358</f>
        <v>31316.027000000002</v>
      </c>
      <c r="M111" s="92">
        <f t="shared" ref="M111:M192" si="67">K111+L111</f>
        <v>118303.91899999999</v>
      </c>
      <c r="N111" s="93">
        <f t="shared" ref="N111:N192" si="68">I111-M111</f>
        <v>1696.0810000000056</v>
      </c>
      <c r="O111" s="70">
        <f t="shared" si="53"/>
        <v>98.586599166666673</v>
      </c>
      <c r="P111" s="71">
        <f t="shared" si="42"/>
        <v>0</v>
      </c>
      <c r="Q111" s="35">
        <f t="shared" si="43"/>
        <v>1696.0810000000056</v>
      </c>
      <c r="R111" s="72">
        <v>1103673</v>
      </c>
      <c r="S111" s="72">
        <f t="shared" si="44"/>
        <v>290089.08100000001</v>
      </c>
      <c r="T111" s="62">
        <f t="shared" si="62"/>
        <v>290089.08100000001</v>
      </c>
    </row>
    <row r="112" spans="1:20">
      <c r="A112" s="8"/>
      <c r="B112" s="8"/>
      <c r="C112" s="8"/>
      <c r="D112" s="21"/>
      <c r="E112" s="69">
        <v>112</v>
      </c>
      <c r="F112" s="136" t="s">
        <v>87</v>
      </c>
      <c r="G112" s="26"/>
      <c r="H112" s="37"/>
      <c r="I112" s="37"/>
      <c r="J112" s="75">
        <f t="shared" ref="J112:J118" si="69">M112</f>
        <v>0</v>
      </c>
      <c r="K112" s="35">
        <f>'1.04.'!M112</f>
        <v>0</v>
      </c>
      <c r="L112" s="35"/>
      <c r="M112" s="92">
        <f t="shared" si="67"/>
        <v>0</v>
      </c>
      <c r="N112" s="93">
        <f t="shared" si="68"/>
        <v>0</v>
      </c>
      <c r="O112" s="70" t="e">
        <f t="shared" si="53"/>
        <v>#DIV/0!</v>
      </c>
      <c r="P112" s="71">
        <f t="shared" si="42"/>
        <v>0</v>
      </c>
      <c r="Q112" s="35">
        <f t="shared" si="43"/>
        <v>0</v>
      </c>
      <c r="R112" s="72">
        <v>1103674</v>
      </c>
      <c r="S112" s="72">
        <f t="shared" si="44"/>
        <v>0</v>
      </c>
    </row>
    <row r="113" spans="1:20">
      <c r="A113" s="8"/>
      <c r="B113" s="8"/>
      <c r="C113" s="8"/>
      <c r="D113" s="21"/>
      <c r="E113" s="76">
        <v>113</v>
      </c>
      <c r="F113" s="136" t="s">
        <v>88</v>
      </c>
      <c r="G113" s="26">
        <v>14739</v>
      </c>
      <c r="H113" s="37">
        <v>2261</v>
      </c>
      <c r="I113" s="37">
        <v>2261</v>
      </c>
      <c r="J113" s="75">
        <f t="shared" si="69"/>
        <v>2261</v>
      </c>
      <c r="K113" s="35">
        <f>'1.04.'!M113</f>
        <v>1684.29</v>
      </c>
      <c r="L113" s="35">
        <v>576.71</v>
      </c>
      <c r="M113" s="92">
        <f t="shared" si="67"/>
        <v>2261</v>
      </c>
      <c r="N113" s="93">
        <f t="shared" si="68"/>
        <v>0</v>
      </c>
      <c r="O113" s="70">
        <f t="shared" si="53"/>
        <v>100</v>
      </c>
      <c r="P113" s="71">
        <f t="shared" si="42"/>
        <v>0</v>
      </c>
      <c r="Q113" s="35">
        <f t="shared" si="43"/>
        <v>0</v>
      </c>
      <c r="R113" s="72">
        <v>1103675</v>
      </c>
      <c r="S113" s="72">
        <f t="shared" si="44"/>
        <v>12478</v>
      </c>
      <c r="T113" s="62">
        <f t="shared" si="62"/>
        <v>12478</v>
      </c>
    </row>
    <row r="114" spans="1:20">
      <c r="A114" s="8"/>
      <c r="B114" s="8"/>
      <c r="C114" s="8"/>
      <c r="D114" s="21"/>
      <c r="E114" s="69">
        <v>116</v>
      </c>
      <c r="F114" s="136" t="s">
        <v>89</v>
      </c>
      <c r="G114" s="26">
        <v>9468</v>
      </c>
      <c r="H114" s="37">
        <v>1205</v>
      </c>
      <c r="I114" s="37">
        <v>1205</v>
      </c>
      <c r="J114" s="75">
        <f t="shared" si="69"/>
        <v>1165.8</v>
      </c>
      <c r="K114" s="35">
        <f>'1.04.'!M114</f>
        <v>350</v>
      </c>
      <c r="L114" s="35">
        <f>404.935+410.865</f>
        <v>815.8</v>
      </c>
      <c r="M114" s="92">
        <f>K114+L114</f>
        <v>1165.8</v>
      </c>
      <c r="N114" s="93">
        <f>I114-M114</f>
        <v>39.200000000000045</v>
      </c>
      <c r="O114" s="70">
        <f>M114/I114*100</f>
        <v>96.746887966804977</v>
      </c>
      <c r="P114" s="71">
        <f t="shared" si="42"/>
        <v>0</v>
      </c>
      <c r="Q114" s="35">
        <f t="shared" si="43"/>
        <v>39.200000000000045</v>
      </c>
      <c r="R114" s="72">
        <v>1103676</v>
      </c>
      <c r="S114" s="72">
        <f t="shared" si="44"/>
        <v>8302.2000000000007</v>
      </c>
    </row>
    <row r="115" spans="1:20">
      <c r="A115" s="8"/>
      <c r="B115" s="8"/>
      <c r="C115" s="8"/>
      <c r="D115" s="21"/>
      <c r="E115" s="69">
        <v>121</v>
      </c>
      <c r="F115" s="136" t="s">
        <v>90</v>
      </c>
      <c r="G115" s="26">
        <v>19586</v>
      </c>
      <c r="H115" s="37">
        <v>5600</v>
      </c>
      <c r="I115" s="37">
        <v>5600</v>
      </c>
      <c r="J115" s="75">
        <f t="shared" si="69"/>
        <v>5600</v>
      </c>
      <c r="K115" s="35">
        <f>'1.04.'!M115</f>
        <v>2873.3870000000002</v>
      </c>
      <c r="L115" s="35">
        <v>2726.6129999999998</v>
      </c>
      <c r="M115" s="92">
        <f t="shared" si="67"/>
        <v>5600</v>
      </c>
      <c r="N115" s="93">
        <f t="shared" si="68"/>
        <v>0</v>
      </c>
      <c r="O115" s="70">
        <f t="shared" si="53"/>
        <v>100</v>
      </c>
      <c r="P115" s="71">
        <f t="shared" si="42"/>
        <v>0</v>
      </c>
      <c r="Q115" s="35">
        <f t="shared" si="43"/>
        <v>0</v>
      </c>
      <c r="R115" s="72">
        <v>1103677</v>
      </c>
      <c r="S115" s="72">
        <f t="shared" si="44"/>
        <v>13986</v>
      </c>
      <c r="T115" s="62">
        <f t="shared" si="62"/>
        <v>13986</v>
      </c>
    </row>
    <row r="116" spans="1:20" ht="25.5">
      <c r="A116" s="8"/>
      <c r="B116" s="8"/>
      <c r="C116" s="8"/>
      <c r="D116" s="21"/>
      <c r="E116" s="69">
        <v>122</v>
      </c>
      <c r="F116" s="136" t="s">
        <v>91</v>
      </c>
      <c r="G116" s="26">
        <v>17015</v>
      </c>
      <c r="H116" s="37">
        <v>4880</v>
      </c>
      <c r="I116" s="37">
        <v>4880</v>
      </c>
      <c r="J116" s="75">
        <f t="shared" si="69"/>
        <v>3598.8279999999995</v>
      </c>
      <c r="K116" s="35">
        <f>'1.04.'!M116</f>
        <v>2415.0389999999998</v>
      </c>
      <c r="L116" s="35">
        <v>1183.789</v>
      </c>
      <c r="M116" s="92">
        <f>K116+L116</f>
        <v>3598.8279999999995</v>
      </c>
      <c r="N116" s="93">
        <f t="shared" si="68"/>
        <v>1281.1720000000005</v>
      </c>
      <c r="O116" s="70">
        <f t="shared" si="53"/>
        <v>73.746475409836052</v>
      </c>
      <c r="P116" s="71">
        <f t="shared" si="42"/>
        <v>0</v>
      </c>
      <c r="Q116" s="35">
        <f t="shared" si="43"/>
        <v>1281.1720000000005</v>
      </c>
      <c r="R116" s="72">
        <v>1103678</v>
      </c>
      <c r="S116" s="72">
        <f t="shared" si="44"/>
        <v>13416.172</v>
      </c>
      <c r="T116" s="62">
        <f t="shared" si="62"/>
        <v>13416.172</v>
      </c>
    </row>
    <row r="117" spans="1:20">
      <c r="A117" s="8"/>
      <c r="B117" s="8"/>
      <c r="C117" s="8"/>
      <c r="D117" s="21"/>
      <c r="E117" s="69">
        <v>123</v>
      </c>
      <c r="F117" s="136" t="s">
        <v>92</v>
      </c>
      <c r="G117" s="26">
        <v>195</v>
      </c>
      <c r="H117" s="37">
        <v>52</v>
      </c>
      <c r="I117" s="37">
        <v>52</v>
      </c>
      <c r="J117" s="75">
        <f t="shared" si="69"/>
        <v>45.572000000000003</v>
      </c>
      <c r="K117" s="35">
        <f>'1.04.'!M117</f>
        <v>0</v>
      </c>
      <c r="L117" s="35">
        <v>45.572000000000003</v>
      </c>
      <c r="M117" s="92">
        <f t="shared" si="67"/>
        <v>45.572000000000003</v>
      </c>
      <c r="N117" s="93">
        <f t="shared" si="68"/>
        <v>6.4279999999999973</v>
      </c>
      <c r="O117" s="70">
        <f t="shared" si="53"/>
        <v>87.638461538461542</v>
      </c>
      <c r="P117" s="71">
        <f t="shared" si="42"/>
        <v>0</v>
      </c>
      <c r="Q117" s="35">
        <f t="shared" si="43"/>
        <v>6.4279999999999973</v>
      </c>
      <c r="R117" s="72">
        <v>1103679</v>
      </c>
      <c r="S117" s="72">
        <f t="shared" si="44"/>
        <v>149.428</v>
      </c>
      <c r="T117" s="62">
        <f t="shared" si="62"/>
        <v>149.428</v>
      </c>
    </row>
    <row r="118" spans="1:20">
      <c r="A118" s="9"/>
      <c r="B118" s="8"/>
      <c r="C118" s="8"/>
      <c r="D118" s="21"/>
      <c r="E118" s="69">
        <v>124</v>
      </c>
      <c r="F118" s="136" t="s">
        <v>93</v>
      </c>
      <c r="G118" s="26">
        <v>11343</v>
      </c>
      <c r="H118" s="37">
        <v>3200</v>
      </c>
      <c r="I118" s="37">
        <v>3200</v>
      </c>
      <c r="J118" s="75">
        <f t="shared" si="69"/>
        <v>2219.3140000000003</v>
      </c>
      <c r="K118" s="35">
        <f>'1.04.'!M118</f>
        <v>1541.5580000000002</v>
      </c>
      <c r="L118" s="35">
        <v>677.75599999999997</v>
      </c>
      <c r="M118" s="92">
        <f t="shared" si="67"/>
        <v>2219.3140000000003</v>
      </c>
      <c r="N118" s="93">
        <f t="shared" si="68"/>
        <v>980.68599999999969</v>
      </c>
      <c r="O118" s="70">
        <f t="shared" si="53"/>
        <v>69.35356250000001</v>
      </c>
      <c r="P118" s="71">
        <f t="shared" si="42"/>
        <v>0</v>
      </c>
      <c r="Q118" s="35">
        <f t="shared" si="43"/>
        <v>980.68599999999969</v>
      </c>
      <c r="R118" s="72">
        <v>1103680</v>
      </c>
      <c r="S118" s="72">
        <f t="shared" si="44"/>
        <v>9123.6859999999997</v>
      </c>
      <c r="T118" s="62">
        <f t="shared" si="62"/>
        <v>9123.6859999999997</v>
      </c>
    </row>
    <row r="119" spans="1:20" s="73" customFormat="1">
      <c r="A119" s="9"/>
      <c r="B119" s="8"/>
      <c r="C119" s="8"/>
      <c r="D119" s="21"/>
      <c r="E119" s="69">
        <v>141</v>
      </c>
      <c r="F119" s="136" t="s">
        <v>116</v>
      </c>
      <c r="G119" s="26">
        <f>44952-157</f>
        <v>44795</v>
      </c>
      <c r="H119" s="37">
        <v>36348</v>
      </c>
      <c r="I119" s="37">
        <v>5194</v>
      </c>
      <c r="J119" s="75">
        <v>36347.695350000002</v>
      </c>
      <c r="K119" s="35">
        <f>'1.04.'!M119</f>
        <v>3187.3910000000001</v>
      </c>
      <c r="L119" s="35">
        <v>2000.69336</v>
      </c>
      <c r="M119" s="92">
        <f t="shared" si="67"/>
        <v>5188.0843599999998</v>
      </c>
      <c r="N119" s="93">
        <f t="shared" si="68"/>
        <v>5.9156400000001668</v>
      </c>
      <c r="O119" s="70">
        <f t="shared" si="53"/>
        <v>99.886106276472859</v>
      </c>
      <c r="P119" s="71">
        <f t="shared" si="42"/>
        <v>31159.610990000001</v>
      </c>
      <c r="Q119" s="35">
        <f t="shared" si="43"/>
        <v>0.30464999999821885</v>
      </c>
      <c r="R119" s="72">
        <v>1103681</v>
      </c>
      <c r="S119" s="72">
        <f t="shared" si="44"/>
        <v>39606.915639999999</v>
      </c>
      <c r="T119" s="62">
        <f t="shared" si="62"/>
        <v>8447.3046499999982</v>
      </c>
    </row>
    <row r="120" spans="1:20">
      <c r="A120" s="9"/>
      <c r="B120" s="8"/>
      <c r="C120" s="8"/>
      <c r="D120" s="21"/>
      <c r="E120" s="69">
        <v>144</v>
      </c>
      <c r="F120" s="136" t="s">
        <v>97</v>
      </c>
      <c r="G120" s="26">
        <v>836</v>
      </c>
      <c r="H120" s="37">
        <v>836</v>
      </c>
      <c r="I120" s="37">
        <v>836</v>
      </c>
      <c r="J120" s="75">
        <v>835.96190999999999</v>
      </c>
      <c r="K120" s="35">
        <f>'1.04.'!M120</f>
        <v>0</v>
      </c>
      <c r="L120" s="35">
        <v>835.96190999999999</v>
      </c>
      <c r="M120" s="92">
        <f t="shared" si="67"/>
        <v>835.96190999999999</v>
      </c>
      <c r="N120" s="93">
        <f t="shared" si="68"/>
        <v>3.8090000000011059E-2</v>
      </c>
      <c r="O120" s="70">
        <f t="shared" si="53"/>
        <v>99.995443779904306</v>
      </c>
      <c r="P120" s="71">
        <f t="shared" si="42"/>
        <v>0</v>
      </c>
      <c r="Q120" s="35">
        <f t="shared" si="43"/>
        <v>3.8090000000011059E-2</v>
      </c>
      <c r="R120" s="72">
        <v>1103682</v>
      </c>
      <c r="S120" s="72">
        <f t="shared" si="44"/>
        <v>3.8090000000011059E-2</v>
      </c>
      <c r="T120" s="62">
        <f t="shared" si="62"/>
        <v>3.8090000000011059E-2</v>
      </c>
    </row>
    <row r="121" spans="1:20">
      <c r="A121" s="9"/>
      <c r="B121" s="8"/>
      <c r="C121" s="8"/>
      <c r="D121" s="21"/>
      <c r="E121" s="69">
        <v>149</v>
      </c>
      <c r="F121" s="136" t="s">
        <v>98</v>
      </c>
      <c r="G121" s="26">
        <f>5652+157</f>
        <v>5809</v>
      </c>
      <c r="H121" s="37">
        <v>4686.8</v>
      </c>
      <c r="I121" s="37">
        <v>4686.8</v>
      </c>
      <c r="J121" s="75">
        <v>4551.4853199999998</v>
      </c>
      <c r="K121" s="35">
        <f>'1.04.'!M121</f>
        <v>4551.4853199999998</v>
      </c>
      <c r="L121" s="35"/>
      <c r="M121" s="92">
        <f t="shared" si="67"/>
        <v>4551.4853199999998</v>
      </c>
      <c r="N121" s="93">
        <f t="shared" si="68"/>
        <v>135.31468000000041</v>
      </c>
      <c r="O121" s="70">
        <f t="shared" si="53"/>
        <v>97.112855679781504</v>
      </c>
      <c r="P121" s="71">
        <f t="shared" si="42"/>
        <v>0</v>
      </c>
      <c r="Q121" s="35">
        <f t="shared" si="43"/>
        <v>135.31468000000041</v>
      </c>
      <c r="R121" s="72">
        <v>1103683</v>
      </c>
      <c r="S121" s="72">
        <f t="shared" si="44"/>
        <v>1257.5146800000002</v>
      </c>
      <c r="T121" s="62">
        <f t="shared" si="62"/>
        <v>1257.5146800000002</v>
      </c>
    </row>
    <row r="122" spans="1:20">
      <c r="A122" s="9"/>
      <c r="B122" s="8"/>
      <c r="C122" s="8"/>
      <c r="D122" s="21"/>
      <c r="E122" s="69">
        <v>151</v>
      </c>
      <c r="F122" s="136" t="s">
        <v>99</v>
      </c>
      <c r="G122" s="26">
        <v>43006</v>
      </c>
      <c r="H122" s="37">
        <v>43006</v>
      </c>
      <c r="I122" s="37">
        <v>43006</v>
      </c>
      <c r="J122" s="75">
        <f t="shared" ref="J122:J128" si="70">M122</f>
        <v>36090.930780000002</v>
      </c>
      <c r="K122" s="35">
        <f>'1.04.'!M122</f>
        <v>35516.56452</v>
      </c>
      <c r="L122" s="35">
        <v>574.36626000000001</v>
      </c>
      <c r="M122" s="92">
        <f t="shared" si="67"/>
        <v>36090.930780000002</v>
      </c>
      <c r="N122" s="93">
        <f t="shared" si="68"/>
        <v>6915.0692199999976</v>
      </c>
      <c r="O122" s="70">
        <f t="shared" si="53"/>
        <v>83.920687299446598</v>
      </c>
      <c r="P122" s="71">
        <f t="shared" si="42"/>
        <v>0</v>
      </c>
      <c r="Q122" s="35">
        <f t="shared" si="43"/>
        <v>6915.0692199999976</v>
      </c>
      <c r="R122" s="72">
        <v>1103684</v>
      </c>
      <c r="S122" s="72">
        <f t="shared" si="44"/>
        <v>6915.0692199999976</v>
      </c>
      <c r="T122" s="62">
        <f t="shared" si="62"/>
        <v>6915.0692199999976</v>
      </c>
    </row>
    <row r="123" spans="1:20">
      <c r="A123" s="9"/>
      <c r="B123" s="9"/>
      <c r="C123" s="9"/>
      <c r="D123" s="69"/>
      <c r="E123" s="69">
        <v>152</v>
      </c>
      <c r="F123" s="136" t="s">
        <v>100</v>
      </c>
      <c r="G123" s="26">
        <v>2907</v>
      </c>
      <c r="H123" s="37">
        <v>2907</v>
      </c>
      <c r="I123" s="37">
        <v>376</v>
      </c>
      <c r="J123" s="75">
        <v>1667.3999799999999</v>
      </c>
      <c r="K123" s="35">
        <f>'1.04.'!M123</f>
        <v>227.85015999999999</v>
      </c>
      <c r="L123" s="35">
        <v>132.25015999999999</v>
      </c>
      <c r="M123" s="92">
        <f t="shared" si="67"/>
        <v>360.10032000000001</v>
      </c>
      <c r="N123" s="93">
        <f t="shared" si="68"/>
        <v>15.899679999999989</v>
      </c>
      <c r="O123" s="70">
        <f t="shared" si="53"/>
        <v>95.771361702127663</v>
      </c>
      <c r="P123" s="71">
        <f t="shared" si="42"/>
        <v>1307.2996599999999</v>
      </c>
      <c r="Q123" s="35">
        <f t="shared" si="43"/>
        <v>1239.6000200000001</v>
      </c>
      <c r="R123" s="72">
        <v>1103685</v>
      </c>
      <c r="S123" s="72">
        <f t="shared" si="44"/>
        <v>2546.89968</v>
      </c>
      <c r="T123" s="62">
        <f t="shared" si="62"/>
        <v>1239.6000200000001</v>
      </c>
    </row>
    <row r="124" spans="1:20" ht="25.5">
      <c r="A124" s="9"/>
      <c r="B124" s="9"/>
      <c r="C124" s="9"/>
      <c r="D124" s="69"/>
      <c r="E124" s="69">
        <v>158</v>
      </c>
      <c r="F124" s="136" t="s">
        <v>101</v>
      </c>
      <c r="G124" s="26">
        <f>730+1670</f>
        <v>2400</v>
      </c>
      <c r="H124" s="37">
        <v>2400</v>
      </c>
      <c r="I124" s="37">
        <v>183</v>
      </c>
      <c r="J124" s="75">
        <v>2400</v>
      </c>
      <c r="K124" s="35">
        <f>'1.04.'!M124</f>
        <v>122</v>
      </c>
      <c r="L124" s="35">
        <v>61</v>
      </c>
      <c r="M124" s="92">
        <f t="shared" si="67"/>
        <v>183</v>
      </c>
      <c r="N124" s="93">
        <f t="shared" si="68"/>
        <v>0</v>
      </c>
      <c r="O124" s="70">
        <f t="shared" si="53"/>
        <v>100</v>
      </c>
      <c r="P124" s="71">
        <f t="shared" si="42"/>
        <v>2217</v>
      </c>
      <c r="Q124" s="35">
        <f t="shared" si="43"/>
        <v>0</v>
      </c>
      <c r="R124" s="72">
        <v>1103686</v>
      </c>
      <c r="S124" s="72">
        <f t="shared" si="44"/>
        <v>2217</v>
      </c>
      <c r="T124" s="62">
        <f t="shared" si="62"/>
        <v>0</v>
      </c>
    </row>
    <row r="125" spans="1:20">
      <c r="A125" s="9"/>
      <c r="B125" s="8"/>
      <c r="C125" s="8"/>
      <c r="D125" s="69"/>
      <c r="E125" s="69">
        <v>159</v>
      </c>
      <c r="F125" s="136" t="s">
        <v>84</v>
      </c>
      <c r="G125" s="26">
        <f>7990-1670</f>
        <v>6320</v>
      </c>
      <c r="H125" s="37">
        <v>3369</v>
      </c>
      <c r="I125" s="37">
        <v>790.2</v>
      </c>
      <c r="J125" s="75">
        <v>3218.6210000000001</v>
      </c>
      <c r="K125" s="35">
        <f>'1.04.'!M125</f>
        <v>570.20000000000005</v>
      </c>
      <c r="L125" s="35">
        <v>219.982</v>
      </c>
      <c r="M125" s="92">
        <f t="shared" si="67"/>
        <v>790.18200000000002</v>
      </c>
      <c r="N125" s="93">
        <f t="shared" si="68"/>
        <v>1.8000000000029104E-2</v>
      </c>
      <c r="O125" s="70">
        <f t="shared" si="53"/>
        <v>99.997722095671975</v>
      </c>
      <c r="P125" s="71">
        <f t="shared" si="42"/>
        <v>2428.4390000000003</v>
      </c>
      <c r="Q125" s="35">
        <f t="shared" si="43"/>
        <v>150.37899999999991</v>
      </c>
      <c r="R125" s="72">
        <v>1103687</v>
      </c>
      <c r="S125" s="72">
        <f t="shared" si="44"/>
        <v>5529.8180000000002</v>
      </c>
      <c r="T125" s="62">
        <f t="shared" si="62"/>
        <v>3101.3789999999999</v>
      </c>
    </row>
    <row r="126" spans="1:20">
      <c r="A126" s="9"/>
      <c r="B126" s="8"/>
      <c r="C126" s="8"/>
      <c r="D126" s="69"/>
      <c r="E126" s="76">
        <v>161</v>
      </c>
      <c r="F126" s="136" t="s">
        <v>102</v>
      </c>
      <c r="G126" s="26">
        <v>1250</v>
      </c>
      <c r="H126" s="37"/>
      <c r="I126" s="37"/>
      <c r="J126" s="75">
        <f t="shared" si="70"/>
        <v>0</v>
      </c>
      <c r="K126" s="35">
        <f>'1.04.'!M126</f>
        <v>0</v>
      </c>
      <c r="L126" s="35"/>
      <c r="M126" s="92">
        <f t="shared" si="67"/>
        <v>0</v>
      </c>
      <c r="N126" s="93">
        <f t="shared" si="68"/>
        <v>0</v>
      </c>
      <c r="O126" s="70" t="e">
        <f t="shared" si="53"/>
        <v>#DIV/0!</v>
      </c>
      <c r="P126" s="71">
        <f t="shared" si="42"/>
        <v>0</v>
      </c>
      <c r="Q126" s="35">
        <f t="shared" si="43"/>
        <v>0</v>
      </c>
      <c r="R126" s="72">
        <v>1103688</v>
      </c>
      <c r="S126" s="72">
        <f t="shared" si="44"/>
        <v>1250</v>
      </c>
      <c r="T126" s="62">
        <f t="shared" si="62"/>
        <v>1250</v>
      </c>
    </row>
    <row r="127" spans="1:20">
      <c r="A127" s="9"/>
      <c r="B127" s="8"/>
      <c r="C127" s="8"/>
      <c r="D127" s="69"/>
      <c r="E127" s="76">
        <v>168</v>
      </c>
      <c r="F127" s="136" t="s">
        <v>167</v>
      </c>
      <c r="G127" s="26">
        <v>50</v>
      </c>
      <c r="H127" s="37">
        <v>50</v>
      </c>
      <c r="I127" s="37">
        <v>50</v>
      </c>
      <c r="J127" s="75">
        <v>19.66</v>
      </c>
      <c r="K127" s="35">
        <f>'1.04.'!M127</f>
        <v>19.66</v>
      </c>
      <c r="L127" s="35"/>
      <c r="M127" s="92">
        <f t="shared" si="67"/>
        <v>19.66</v>
      </c>
      <c r="N127" s="93">
        <f t="shared" si="68"/>
        <v>30.34</v>
      </c>
      <c r="O127" s="70">
        <f t="shared" si="53"/>
        <v>39.32</v>
      </c>
      <c r="P127" s="71">
        <f t="shared" si="42"/>
        <v>0</v>
      </c>
      <c r="Q127" s="35">
        <f t="shared" si="43"/>
        <v>30.34</v>
      </c>
      <c r="R127" s="72">
        <v>1103689</v>
      </c>
      <c r="S127" s="72">
        <f t="shared" si="44"/>
        <v>30.34</v>
      </c>
    </row>
    <row r="128" spans="1:20">
      <c r="A128" s="9"/>
      <c r="B128" s="8"/>
      <c r="C128" s="8"/>
      <c r="D128" s="69"/>
      <c r="E128" s="69">
        <v>169</v>
      </c>
      <c r="F128" s="136" t="s">
        <v>103</v>
      </c>
      <c r="G128" s="26">
        <f>200-50</f>
        <v>150</v>
      </c>
      <c r="H128" s="37">
        <v>0</v>
      </c>
      <c r="I128" s="37">
        <v>0</v>
      </c>
      <c r="J128" s="75">
        <f t="shared" si="70"/>
        <v>0</v>
      </c>
      <c r="K128" s="35">
        <f>'1.04.'!M128</f>
        <v>0</v>
      </c>
      <c r="L128" s="35"/>
      <c r="M128" s="92">
        <f t="shared" si="67"/>
        <v>0</v>
      </c>
      <c r="N128" s="93">
        <f t="shared" si="68"/>
        <v>0</v>
      </c>
      <c r="O128" s="70" t="e">
        <f t="shared" si="53"/>
        <v>#DIV/0!</v>
      </c>
      <c r="P128" s="71">
        <f t="shared" si="42"/>
        <v>0</v>
      </c>
      <c r="Q128" s="35">
        <f t="shared" si="43"/>
        <v>0</v>
      </c>
      <c r="R128" s="72">
        <v>1103689</v>
      </c>
      <c r="S128" s="72">
        <f t="shared" si="44"/>
        <v>150</v>
      </c>
      <c r="T128" s="62">
        <f t="shared" si="62"/>
        <v>150</v>
      </c>
    </row>
    <row r="129" spans="1:20" s="73" customFormat="1">
      <c r="A129" s="8"/>
      <c r="B129" s="17">
        <v>1263</v>
      </c>
      <c r="C129" s="12"/>
      <c r="D129" s="11"/>
      <c r="E129" s="18"/>
      <c r="F129" s="139" t="s">
        <v>117</v>
      </c>
      <c r="G129" s="42">
        <f t="shared" ref="G129:N129" si="71">G130+G149</f>
        <v>557301</v>
      </c>
      <c r="H129" s="42">
        <f t="shared" si="71"/>
        <v>234563</v>
      </c>
      <c r="I129" s="42">
        <f t="shared" si="71"/>
        <v>129544.5</v>
      </c>
      <c r="J129" s="29">
        <f t="shared" si="71"/>
        <v>234485.71406000003</v>
      </c>
      <c r="K129" s="29">
        <f>'1.02.'!M119</f>
        <v>10083.11916</v>
      </c>
      <c r="L129" s="29">
        <f t="shared" si="71"/>
        <v>45660.962310000003</v>
      </c>
      <c r="M129" s="29">
        <f t="shared" si="71"/>
        <v>129529.16532999999</v>
      </c>
      <c r="N129" s="29">
        <f t="shared" si="71"/>
        <v>15.334669999996862</v>
      </c>
      <c r="O129" s="68">
        <f t="shared" si="53"/>
        <v>99.988162623654404</v>
      </c>
      <c r="P129" s="35">
        <f t="shared" si="42"/>
        <v>104956.54873000004</v>
      </c>
      <c r="Q129" s="35">
        <f t="shared" si="43"/>
        <v>77.28593999997247</v>
      </c>
      <c r="R129" s="72">
        <v>1103690</v>
      </c>
      <c r="S129" s="72">
        <f t="shared" si="44"/>
        <v>427771.83467000001</v>
      </c>
      <c r="T129" s="62">
        <f t="shared" si="62"/>
        <v>322815.28593999997</v>
      </c>
    </row>
    <row r="130" spans="1:20" s="73" customFormat="1" ht="63.75">
      <c r="A130" s="8"/>
      <c r="B130" s="12"/>
      <c r="C130" s="12" t="s">
        <v>25</v>
      </c>
      <c r="D130" s="11"/>
      <c r="E130" s="18"/>
      <c r="F130" s="139" t="s">
        <v>118</v>
      </c>
      <c r="G130" s="42">
        <f>G131</f>
        <v>557301</v>
      </c>
      <c r="H130" s="42">
        <f t="shared" ref="H130:N130" si="72">H131</f>
        <v>234563</v>
      </c>
      <c r="I130" s="42">
        <f t="shared" si="72"/>
        <v>129544.5</v>
      </c>
      <c r="J130" s="42">
        <f t="shared" si="72"/>
        <v>234485.71406000003</v>
      </c>
      <c r="K130" s="29">
        <f>'1.02.'!M120</f>
        <v>10083.11916</v>
      </c>
      <c r="L130" s="29">
        <f t="shared" si="72"/>
        <v>45660.962310000003</v>
      </c>
      <c r="M130" s="42">
        <f t="shared" si="72"/>
        <v>129529.16532999999</v>
      </c>
      <c r="N130" s="29">
        <f t="shared" si="72"/>
        <v>15.334669999996862</v>
      </c>
      <c r="O130" s="68">
        <f t="shared" si="53"/>
        <v>99.988162623654404</v>
      </c>
      <c r="P130" s="71">
        <f t="shared" si="42"/>
        <v>104956.54873000004</v>
      </c>
      <c r="Q130" s="35">
        <f t="shared" si="43"/>
        <v>77.28593999997247</v>
      </c>
      <c r="R130" s="72">
        <v>1103691</v>
      </c>
      <c r="S130" s="72">
        <f t="shared" si="44"/>
        <v>427771.83467000001</v>
      </c>
      <c r="T130" s="62">
        <f t="shared" si="62"/>
        <v>322815.28593999997</v>
      </c>
    </row>
    <row r="131" spans="1:20" s="73" customFormat="1">
      <c r="A131" s="8"/>
      <c r="B131" s="12"/>
      <c r="C131" s="12"/>
      <c r="D131" s="11" t="s">
        <v>7</v>
      </c>
      <c r="E131" s="19"/>
      <c r="F131" s="140" t="s">
        <v>85</v>
      </c>
      <c r="G131" s="30">
        <f>SUM(G132:G148)</f>
        <v>557301</v>
      </c>
      <c r="H131" s="30">
        <f t="shared" ref="H131:N131" si="73">SUM(H132:H148)</f>
        <v>234563</v>
      </c>
      <c r="I131" s="30">
        <f t="shared" si="73"/>
        <v>129544.5</v>
      </c>
      <c r="J131" s="32">
        <f>SUM(J132:J148)</f>
        <v>234485.71406000003</v>
      </c>
      <c r="K131" s="29">
        <f>'1.02.'!M121</f>
        <v>10083.11916</v>
      </c>
      <c r="L131" s="32">
        <f>SUM(L132:L148)</f>
        <v>45660.962310000003</v>
      </c>
      <c r="M131" s="32">
        <f t="shared" si="73"/>
        <v>129529.16532999999</v>
      </c>
      <c r="N131" s="32">
        <f t="shared" si="73"/>
        <v>15.334669999996862</v>
      </c>
      <c r="O131" s="68">
        <f t="shared" si="53"/>
        <v>99.988162623654404</v>
      </c>
      <c r="P131" s="71">
        <f t="shared" si="42"/>
        <v>104956.54873000004</v>
      </c>
      <c r="Q131" s="35">
        <f t="shared" si="43"/>
        <v>77.28593999997247</v>
      </c>
      <c r="R131" s="72">
        <v>1103692</v>
      </c>
      <c r="S131" s="72">
        <f t="shared" si="44"/>
        <v>427771.83467000001</v>
      </c>
      <c r="T131" s="62">
        <f t="shared" si="62"/>
        <v>322815.28593999997</v>
      </c>
    </row>
    <row r="132" spans="1:20">
      <c r="A132" s="8"/>
      <c r="B132" s="13"/>
      <c r="C132" s="13"/>
      <c r="D132" s="14"/>
      <c r="E132" s="20">
        <v>111</v>
      </c>
      <c r="F132" s="136" t="s">
        <v>86</v>
      </c>
      <c r="G132" s="34">
        <v>288321</v>
      </c>
      <c r="H132" s="34">
        <v>60399.3</v>
      </c>
      <c r="I132" s="34">
        <v>60399.3</v>
      </c>
      <c r="J132" s="75">
        <f>M132</f>
        <v>60399.3</v>
      </c>
      <c r="K132" s="35">
        <f>'1.04.'!M132</f>
        <v>39399.300000000003</v>
      </c>
      <c r="L132" s="36">
        <v>21000</v>
      </c>
      <c r="M132" s="92">
        <f t="shared" si="67"/>
        <v>60399.3</v>
      </c>
      <c r="N132" s="93">
        <f>I132-M132</f>
        <v>0</v>
      </c>
      <c r="O132" s="70">
        <f t="shared" si="53"/>
        <v>100</v>
      </c>
      <c r="P132" s="71">
        <f t="shared" si="42"/>
        <v>0</v>
      </c>
      <c r="Q132" s="35">
        <f t="shared" si="43"/>
        <v>0</v>
      </c>
      <c r="R132" s="72">
        <v>1103693</v>
      </c>
      <c r="S132" s="72">
        <f t="shared" si="44"/>
        <v>227921.7</v>
      </c>
      <c r="T132" s="62">
        <f t="shared" si="62"/>
        <v>227921.7</v>
      </c>
    </row>
    <row r="133" spans="1:20">
      <c r="A133" s="8"/>
      <c r="B133" s="13"/>
      <c r="C133" s="13"/>
      <c r="D133" s="14"/>
      <c r="E133" s="20">
        <v>112</v>
      </c>
      <c r="F133" s="136" t="s">
        <v>87</v>
      </c>
      <c r="G133" s="34"/>
      <c r="H133" s="34"/>
      <c r="I133" s="34"/>
      <c r="J133" s="75">
        <f t="shared" ref="J133:J147" si="74">M133</f>
        <v>0</v>
      </c>
      <c r="K133" s="35">
        <f>'1.04.'!M133</f>
        <v>0</v>
      </c>
      <c r="L133" s="36"/>
      <c r="M133" s="92">
        <f t="shared" si="67"/>
        <v>0</v>
      </c>
      <c r="N133" s="93">
        <f>I133-M133</f>
        <v>0</v>
      </c>
      <c r="O133" s="70" t="e">
        <f t="shared" si="53"/>
        <v>#DIV/0!</v>
      </c>
      <c r="P133" s="71">
        <f t="shared" si="42"/>
        <v>0</v>
      </c>
      <c r="Q133" s="35">
        <f t="shared" si="43"/>
        <v>0</v>
      </c>
      <c r="R133" s="72">
        <v>1103694</v>
      </c>
      <c r="S133" s="72">
        <f t="shared" si="44"/>
        <v>0</v>
      </c>
    </row>
    <row r="134" spans="1:20">
      <c r="A134" s="8"/>
      <c r="B134" s="15"/>
      <c r="C134" s="15"/>
      <c r="D134" s="16"/>
      <c r="E134" s="20">
        <v>113</v>
      </c>
      <c r="F134" s="136" t="s">
        <v>88</v>
      </c>
      <c r="G134" s="34">
        <v>7446</v>
      </c>
      <c r="H134" s="34">
        <v>1077</v>
      </c>
      <c r="I134" s="34">
        <v>1077</v>
      </c>
      <c r="J134" s="75">
        <f t="shared" si="74"/>
        <v>1076.5050000000001</v>
      </c>
      <c r="K134" s="35">
        <f>'1.04.'!M134</f>
        <v>856</v>
      </c>
      <c r="L134" s="36">
        <v>220.505</v>
      </c>
      <c r="M134" s="92">
        <f t="shared" si="67"/>
        <v>1076.5050000000001</v>
      </c>
      <c r="N134" s="93">
        <f t="shared" si="68"/>
        <v>0.49499999999989086</v>
      </c>
      <c r="O134" s="70">
        <f t="shared" si="53"/>
        <v>99.954038997214496</v>
      </c>
      <c r="P134" s="71">
        <f t="shared" si="42"/>
        <v>0</v>
      </c>
      <c r="Q134" s="35">
        <f t="shared" si="43"/>
        <v>0.49499999999989086</v>
      </c>
      <c r="R134" s="72">
        <v>1103695</v>
      </c>
      <c r="S134" s="72">
        <f t="shared" si="44"/>
        <v>6369.4949999999999</v>
      </c>
      <c r="T134" s="62">
        <f t="shared" si="62"/>
        <v>6369.4949999999999</v>
      </c>
    </row>
    <row r="135" spans="1:20">
      <c r="A135" s="8"/>
      <c r="B135" s="15"/>
      <c r="C135" s="15"/>
      <c r="D135" s="16"/>
      <c r="E135" s="69">
        <v>116</v>
      </c>
      <c r="F135" s="136" t="s">
        <v>89</v>
      </c>
      <c r="G135" s="34">
        <v>9009</v>
      </c>
      <c r="H135" s="34">
        <v>921</v>
      </c>
      <c r="I135" s="34">
        <v>921</v>
      </c>
      <c r="J135" s="75">
        <f t="shared" si="74"/>
        <v>920.92000000000007</v>
      </c>
      <c r="K135" s="35">
        <f>'1.04.'!M135</f>
        <v>571.774</v>
      </c>
      <c r="L135" s="36">
        <v>349.14600000000002</v>
      </c>
      <c r="M135" s="92">
        <f>K135+L135</f>
        <v>920.92000000000007</v>
      </c>
      <c r="N135" s="93">
        <f>I135-M135</f>
        <v>7.999999999992724E-2</v>
      </c>
      <c r="O135" s="70">
        <f>M135/I135*100</f>
        <v>99.99131378935941</v>
      </c>
      <c r="P135" s="71">
        <f t="shared" si="42"/>
        <v>0</v>
      </c>
      <c r="Q135" s="35">
        <f t="shared" si="43"/>
        <v>7.999999999992724E-2</v>
      </c>
      <c r="R135" s="72">
        <v>1103696</v>
      </c>
      <c r="S135" s="72">
        <f t="shared" si="44"/>
        <v>8088.08</v>
      </c>
    </row>
    <row r="136" spans="1:20">
      <c r="A136" s="8"/>
      <c r="B136" s="15"/>
      <c r="C136" s="15"/>
      <c r="D136" s="16"/>
      <c r="E136" s="20">
        <v>121</v>
      </c>
      <c r="F136" s="136" t="s">
        <v>90</v>
      </c>
      <c r="G136" s="34">
        <v>14861</v>
      </c>
      <c r="H136" s="34">
        <v>3124.3</v>
      </c>
      <c r="I136" s="34">
        <v>3124.3</v>
      </c>
      <c r="J136" s="75">
        <f t="shared" si="74"/>
        <v>3124.2999999999997</v>
      </c>
      <c r="K136" s="35">
        <f>'1.04.'!M136</f>
        <v>2015.0259999999998</v>
      </c>
      <c r="L136" s="36">
        <v>1109.2739999999999</v>
      </c>
      <c r="M136" s="92">
        <f t="shared" si="67"/>
        <v>3124.2999999999997</v>
      </c>
      <c r="N136" s="93">
        <f t="shared" si="68"/>
        <v>0</v>
      </c>
      <c r="O136" s="70">
        <f t="shared" si="53"/>
        <v>99.999999999999986</v>
      </c>
      <c r="P136" s="71">
        <f t="shared" si="42"/>
        <v>0</v>
      </c>
      <c r="Q136" s="35">
        <f t="shared" si="43"/>
        <v>0</v>
      </c>
      <c r="R136" s="72">
        <v>1103697</v>
      </c>
      <c r="S136" s="72">
        <f t="shared" si="44"/>
        <v>11736.7</v>
      </c>
      <c r="T136" s="62">
        <f t="shared" si="62"/>
        <v>11736.7</v>
      </c>
    </row>
    <row r="137" spans="1:20" ht="25.5">
      <c r="A137" s="8"/>
      <c r="B137" s="15"/>
      <c r="C137" s="15"/>
      <c r="D137" s="16"/>
      <c r="E137" s="20">
        <v>122</v>
      </c>
      <c r="F137" s="136" t="s">
        <v>91</v>
      </c>
      <c r="G137" s="37">
        <v>12910</v>
      </c>
      <c r="H137" s="37">
        <v>2834.9</v>
      </c>
      <c r="I137" s="37">
        <v>2834.9</v>
      </c>
      <c r="J137" s="75">
        <f t="shared" si="74"/>
        <v>2834.9</v>
      </c>
      <c r="K137" s="35">
        <f>'1.04.'!M137</f>
        <v>2021.78</v>
      </c>
      <c r="L137" s="35">
        <v>813.12</v>
      </c>
      <c r="M137" s="92">
        <f t="shared" si="67"/>
        <v>2834.9</v>
      </c>
      <c r="N137" s="93">
        <f t="shared" si="68"/>
        <v>0</v>
      </c>
      <c r="O137" s="70">
        <f t="shared" si="53"/>
        <v>100</v>
      </c>
      <c r="P137" s="71">
        <f t="shared" si="42"/>
        <v>0</v>
      </c>
      <c r="Q137" s="35">
        <f t="shared" si="43"/>
        <v>0</v>
      </c>
      <c r="R137" s="72">
        <v>1103698</v>
      </c>
      <c r="S137" s="72">
        <f t="shared" si="44"/>
        <v>10075.1</v>
      </c>
      <c r="T137" s="62">
        <f t="shared" si="62"/>
        <v>10075.1</v>
      </c>
    </row>
    <row r="138" spans="1:20">
      <c r="A138" s="8"/>
      <c r="B138" s="15"/>
      <c r="C138" s="15"/>
      <c r="D138" s="16"/>
      <c r="E138" s="20">
        <v>123</v>
      </c>
      <c r="F138" s="136" t="s">
        <v>92</v>
      </c>
      <c r="G138" s="34">
        <v>228</v>
      </c>
      <c r="H138" s="34">
        <v>110</v>
      </c>
      <c r="I138" s="34">
        <v>110</v>
      </c>
      <c r="J138" s="75">
        <f t="shared" si="74"/>
        <v>95.396330000000006</v>
      </c>
      <c r="K138" s="35">
        <f>'1.04.'!M138</f>
        <v>0</v>
      </c>
      <c r="L138" s="36">
        <v>95.396330000000006</v>
      </c>
      <c r="M138" s="92">
        <f t="shared" si="67"/>
        <v>95.396330000000006</v>
      </c>
      <c r="N138" s="93">
        <f t="shared" si="68"/>
        <v>14.603669999999994</v>
      </c>
      <c r="O138" s="70">
        <f t="shared" si="53"/>
        <v>86.723936363636369</v>
      </c>
      <c r="P138" s="71">
        <f t="shared" si="42"/>
        <v>0</v>
      </c>
      <c r="Q138" s="35">
        <f t="shared" si="43"/>
        <v>14.603669999999994</v>
      </c>
      <c r="R138" s="72">
        <v>1103699</v>
      </c>
      <c r="S138" s="72">
        <f t="shared" si="44"/>
        <v>132.60366999999999</v>
      </c>
      <c r="T138" s="62">
        <f t="shared" si="62"/>
        <v>132.60366999999999</v>
      </c>
    </row>
    <row r="139" spans="1:20">
      <c r="A139" s="9"/>
      <c r="B139" s="15"/>
      <c r="C139" s="15"/>
      <c r="D139" s="16"/>
      <c r="E139" s="20">
        <v>124</v>
      </c>
      <c r="F139" s="136" t="s">
        <v>93</v>
      </c>
      <c r="G139" s="37">
        <v>8607</v>
      </c>
      <c r="H139" s="37">
        <v>1384.8</v>
      </c>
      <c r="I139" s="37">
        <v>1384.8</v>
      </c>
      <c r="J139" s="75">
        <f t="shared" si="74"/>
        <v>1384.7719999999999</v>
      </c>
      <c r="K139" s="35">
        <f>'1.04.'!M139</f>
        <v>873.91599999999994</v>
      </c>
      <c r="L139" s="35">
        <v>510.85599999999999</v>
      </c>
      <c r="M139" s="92">
        <f t="shared" si="67"/>
        <v>1384.7719999999999</v>
      </c>
      <c r="N139" s="93">
        <f t="shared" si="68"/>
        <v>2.8000000000020009E-2</v>
      </c>
      <c r="O139" s="70">
        <f t="shared" si="53"/>
        <v>99.997978047371461</v>
      </c>
      <c r="P139" s="71">
        <f t="shared" si="42"/>
        <v>0</v>
      </c>
      <c r="Q139" s="35">
        <f t="shared" si="43"/>
        <v>2.8000000000020009E-2</v>
      </c>
      <c r="R139" s="72">
        <v>1103700</v>
      </c>
      <c r="S139" s="72">
        <f t="shared" si="44"/>
        <v>7222.2280000000001</v>
      </c>
      <c r="T139" s="62">
        <f t="shared" si="62"/>
        <v>7222.2280000000001</v>
      </c>
    </row>
    <row r="140" spans="1:20">
      <c r="A140" s="9"/>
      <c r="B140" s="15"/>
      <c r="C140" s="15"/>
      <c r="D140" s="16"/>
      <c r="E140" s="20">
        <v>141</v>
      </c>
      <c r="F140" s="136" t="s">
        <v>116</v>
      </c>
      <c r="G140" s="34">
        <v>138471</v>
      </c>
      <c r="H140" s="34">
        <v>114871</v>
      </c>
      <c r="I140" s="34">
        <v>15600</v>
      </c>
      <c r="J140" s="75">
        <v>114809.33041</v>
      </c>
      <c r="K140" s="35">
        <f>'1.04.'!M140</f>
        <v>5677.64743</v>
      </c>
      <c r="L140" s="36">
        <v>9922.3525699999991</v>
      </c>
      <c r="M140" s="92">
        <f t="shared" si="67"/>
        <v>15600</v>
      </c>
      <c r="N140" s="93">
        <f t="shared" si="68"/>
        <v>0</v>
      </c>
      <c r="O140" s="70">
        <f t="shared" si="53"/>
        <v>100</v>
      </c>
      <c r="P140" s="71">
        <f t="shared" si="42"/>
        <v>99209.330409999995</v>
      </c>
      <c r="Q140" s="35">
        <f t="shared" si="43"/>
        <v>61.669590000004973</v>
      </c>
      <c r="R140" s="72">
        <v>1103701</v>
      </c>
      <c r="S140" s="72">
        <f t="shared" si="44"/>
        <v>122871</v>
      </c>
      <c r="T140" s="62">
        <f t="shared" si="62"/>
        <v>23661.669590000005</v>
      </c>
    </row>
    <row r="141" spans="1:20">
      <c r="A141" s="9"/>
      <c r="B141" s="15"/>
      <c r="C141" s="15"/>
      <c r="D141" s="16"/>
      <c r="E141" s="20">
        <v>144</v>
      </c>
      <c r="F141" s="136" t="s">
        <v>97</v>
      </c>
      <c r="G141" s="37">
        <v>1470</v>
      </c>
      <c r="H141" s="37">
        <v>1470</v>
      </c>
      <c r="I141" s="37"/>
      <c r="J141" s="75">
        <v>1470</v>
      </c>
      <c r="K141" s="35">
        <f>'1.04.'!M141</f>
        <v>0</v>
      </c>
      <c r="L141" s="36"/>
      <c r="M141" s="92">
        <f t="shared" si="67"/>
        <v>0</v>
      </c>
      <c r="N141" s="93">
        <f t="shared" si="68"/>
        <v>0</v>
      </c>
      <c r="O141" s="70" t="e">
        <f t="shared" si="53"/>
        <v>#DIV/0!</v>
      </c>
      <c r="P141" s="71">
        <f t="shared" si="42"/>
        <v>1470</v>
      </c>
      <c r="Q141" s="35">
        <f t="shared" si="43"/>
        <v>0</v>
      </c>
      <c r="R141" s="72">
        <v>1103702</v>
      </c>
      <c r="S141" s="72">
        <f t="shared" si="44"/>
        <v>1470</v>
      </c>
      <c r="T141" s="62">
        <f t="shared" si="62"/>
        <v>0</v>
      </c>
    </row>
    <row r="142" spans="1:20">
      <c r="A142" s="9"/>
      <c r="B142" s="15"/>
      <c r="C142" s="15"/>
      <c r="D142" s="16"/>
      <c r="E142" s="20">
        <v>149</v>
      </c>
      <c r="F142" s="136" t="s">
        <v>98</v>
      </c>
      <c r="G142" s="34">
        <v>5557</v>
      </c>
      <c r="H142" s="34">
        <v>2557.1999999999998</v>
      </c>
      <c r="I142" s="34">
        <v>2557.1999999999998</v>
      </c>
      <c r="J142" s="75">
        <f>M142</f>
        <v>2557.1999999999998</v>
      </c>
      <c r="K142" s="35">
        <f>'1.04.'!M142</f>
        <v>1327.2</v>
      </c>
      <c r="L142" s="35">
        <v>1230</v>
      </c>
      <c r="M142" s="93">
        <f t="shared" si="67"/>
        <v>2557.1999999999998</v>
      </c>
      <c r="N142" s="93">
        <f>I142-M142</f>
        <v>0</v>
      </c>
      <c r="O142" s="70">
        <f t="shared" si="53"/>
        <v>100</v>
      </c>
      <c r="P142" s="71">
        <f t="shared" si="42"/>
        <v>0</v>
      </c>
      <c r="Q142" s="35">
        <f t="shared" si="43"/>
        <v>0</v>
      </c>
      <c r="R142" s="72">
        <v>1103703</v>
      </c>
      <c r="S142" s="72">
        <f t="shared" si="44"/>
        <v>2999.8</v>
      </c>
      <c r="T142" s="62">
        <f t="shared" si="62"/>
        <v>2999.8</v>
      </c>
    </row>
    <row r="143" spans="1:20">
      <c r="A143" s="9"/>
      <c r="B143" s="15"/>
      <c r="C143" s="15"/>
      <c r="D143" s="16"/>
      <c r="E143" s="20">
        <v>151</v>
      </c>
      <c r="F143" s="136" t="s">
        <v>99</v>
      </c>
      <c r="G143" s="34">
        <v>60855</v>
      </c>
      <c r="H143" s="34">
        <v>39291</v>
      </c>
      <c r="I143" s="34">
        <v>39291</v>
      </c>
      <c r="J143" s="75">
        <f t="shared" si="74"/>
        <v>39290.986490000003</v>
      </c>
      <c r="K143" s="35">
        <f>'1.04.'!M143</f>
        <v>29273.958690000003</v>
      </c>
      <c r="L143" s="36">
        <v>10017.0278</v>
      </c>
      <c r="M143" s="93">
        <f t="shared" si="67"/>
        <v>39290.986490000003</v>
      </c>
      <c r="N143" s="93">
        <f t="shared" si="68"/>
        <v>1.3509999997040723E-2</v>
      </c>
      <c r="O143" s="70">
        <f t="shared" si="53"/>
        <v>99.999965615535373</v>
      </c>
      <c r="P143" s="71">
        <f t="shared" si="42"/>
        <v>0</v>
      </c>
      <c r="Q143" s="35">
        <f t="shared" si="43"/>
        <v>1.3509999997040723E-2</v>
      </c>
      <c r="R143" s="72">
        <v>1103704</v>
      </c>
      <c r="S143" s="72">
        <f t="shared" si="44"/>
        <v>21564.013509999997</v>
      </c>
      <c r="T143" s="62">
        <f t="shared" si="62"/>
        <v>21564.013509999997</v>
      </c>
    </row>
    <row r="144" spans="1:20">
      <c r="A144" s="9"/>
      <c r="B144" s="15"/>
      <c r="C144" s="15"/>
      <c r="D144" s="16"/>
      <c r="E144" s="20">
        <v>152</v>
      </c>
      <c r="F144" s="136" t="s">
        <v>100</v>
      </c>
      <c r="G144" s="34">
        <v>1940</v>
      </c>
      <c r="H144" s="34">
        <v>855</v>
      </c>
      <c r="I144" s="34">
        <v>294.5</v>
      </c>
      <c r="J144" s="75">
        <v>854.71015999999997</v>
      </c>
      <c r="K144" s="35">
        <f>'1.04.'!M144</f>
        <v>212.6009</v>
      </c>
      <c r="L144" s="36">
        <v>81.836039999999997</v>
      </c>
      <c r="M144" s="92">
        <f t="shared" si="67"/>
        <v>294.43693999999999</v>
      </c>
      <c r="N144" s="93">
        <f t="shared" si="68"/>
        <v>6.3060000000007221E-2</v>
      </c>
      <c r="O144" s="70">
        <f t="shared" si="53"/>
        <v>99.978587436332759</v>
      </c>
      <c r="P144" s="71">
        <f t="shared" si="42"/>
        <v>560.27322000000004</v>
      </c>
      <c r="Q144" s="35">
        <f t="shared" si="43"/>
        <v>0.28984000000002652</v>
      </c>
      <c r="R144" s="72">
        <v>1103705</v>
      </c>
      <c r="S144" s="72">
        <f t="shared" si="44"/>
        <v>1645.56306</v>
      </c>
      <c r="T144" s="62">
        <f t="shared" si="62"/>
        <v>1085.2898399999999</v>
      </c>
    </row>
    <row r="145" spans="1:20" ht="25.5">
      <c r="A145" s="9"/>
      <c r="B145" s="15"/>
      <c r="C145" s="15"/>
      <c r="D145" s="16"/>
      <c r="E145" s="20">
        <v>158</v>
      </c>
      <c r="F145" s="136" t="s">
        <v>101</v>
      </c>
      <c r="G145" s="34">
        <f>730+900</f>
        <v>1630</v>
      </c>
      <c r="H145" s="34">
        <v>1630</v>
      </c>
      <c r="I145" s="34">
        <v>469</v>
      </c>
      <c r="J145" s="75">
        <v>1630</v>
      </c>
      <c r="K145" s="35">
        <f>'1.04.'!M145</f>
        <v>333</v>
      </c>
      <c r="L145" s="36">
        <v>136</v>
      </c>
      <c r="M145" s="92">
        <f t="shared" si="67"/>
        <v>469</v>
      </c>
      <c r="N145" s="93">
        <f t="shared" si="68"/>
        <v>0</v>
      </c>
      <c r="O145" s="70">
        <f t="shared" si="53"/>
        <v>100</v>
      </c>
      <c r="P145" s="71">
        <f t="shared" si="42"/>
        <v>1161</v>
      </c>
      <c r="Q145" s="35">
        <f t="shared" si="43"/>
        <v>0</v>
      </c>
      <c r="R145" s="72">
        <v>1103706</v>
      </c>
      <c r="S145" s="72">
        <f t="shared" si="44"/>
        <v>1161</v>
      </c>
      <c r="T145" s="62">
        <f t="shared" si="62"/>
        <v>0</v>
      </c>
    </row>
    <row r="146" spans="1:20">
      <c r="A146" s="9"/>
      <c r="B146" s="15"/>
      <c r="C146" s="15"/>
      <c r="D146" s="16"/>
      <c r="E146" s="20">
        <v>159</v>
      </c>
      <c r="F146" s="136" t="s">
        <v>84</v>
      </c>
      <c r="G146" s="34">
        <f>5598-900</f>
        <v>4698</v>
      </c>
      <c r="H146" s="34">
        <v>3166</v>
      </c>
      <c r="I146" s="34">
        <v>610</v>
      </c>
      <c r="J146" s="75">
        <v>3165.9450999999999</v>
      </c>
      <c r="K146" s="35">
        <f>'1.04.'!M146</f>
        <v>460</v>
      </c>
      <c r="L146" s="36">
        <v>150</v>
      </c>
      <c r="M146" s="92">
        <f t="shared" si="67"/>
        <v>610</v>
      </c>
      <c r="N146" s="93">
        <f t="shared" si="68"/>
        <v>0</v>
      </c>
      <c r="O146" s="70">
        <f t="shared" si="53"/>
        <v>100</v>
      </c>
      <c r="P146" s="71">
        <f t="shared" si="42"/>
        <v>2555.9450999999999</v>
      </c>
      <c r="Q146" s="35">
        <f t="shared" si="43"/>
        <v>5.4900000000088767E-2</v>
      </c>
      <c r="R146" s="72">
        <v>1103707</v>
      </c>
      <c r="S146" s="72">
        <f t="shared" si="44"/>
        <v>4088</v>
      </c>
      <c r="T146" s="62">
        <f t="shared" si="62"/>
        <v>1532.0549000000001</v>
      </c>
    </row>
    <row r="147" spans="1:20">
      <c r="A147" s="9"/>
      <c r="B147" s="15"/>
      <c r="C147" s="15"/>
      <c r="D147" s="16"/>
      <c r="E147" s="20">
        <v>161</v>
      </c>
      <c r="F147" s="136" t="s">
        <v>102</v>
      </c>
      <c r="G147" s="37"/>
      <c r="H147" s="37"/>
      <c r="I147" s="37"/>
      <c r="J147" s="75">
        <f t="shared" si="74"/>
        <v>0</v>
      </c>
      <c r="K147" s="35">
        <f>'1.04.'!M147</f>
        <v>0</v>
      </c>
      <c r="L147" s="35"/>
      <c r="M147" s="92">
        <f t="shared" si="67"/>
        <v>0</v>
      </c>
      <c r="N147" s="93">
        <f t="shared" si="68"/>
        <v>0</v>
      </c>
      <c r="O147" s="70" t="e">
        <f t="shared" si="53"/>
        <v>#DIV/0!</v>
      </c>
      <c r="P147" s="71">
        <f t="shared" si="42"/>
        <v>0</v>
      </c>
      <c r="Q147" s="35">
        <f t="shared" si="43"/>
        <v>0</v>
      </c>
      <c r="R147" s="72">
        <v>1103708</v>
      </c>
      <c r="S147" s="72">
        <f t="shared" si="44"/>
        <v>0</v>
      </c>
      <c r="T147" s="62">
        <f t="shared" si="62"/>
        <v>0</v>
      </c>
    </row>
    <row r="148" spans="1:20">
      <c r="A148" s="9"/>
      <c r="B148" s="15"/>
      <c r="C148" s="15"/>
      <c r="D148" s="16"/>
      <c r="E148" s="20">
        <v>169</v>
      </c>
      <c r="F148" s="136" t="s">
        <v>103</v>
      </c>
      <c r="G148" s="34">
        <v>1298</v>
      </c>
      <c r="H148" s="34">
        <v>871.5</v>
      </c>
      <c r="I148" s="34">
        <v>871.5</v>
      </c>
      <c r="J148" s="75">
        <f>M148</f>
        <v>871.44857000000002</v>
      </c>
      <c r="K148" s="35">
        <f>'1.04.'!M148</f>
        <v>846</v>
      </c>
      <c r="L148" s="36">
        <v>25.44857</v>
      </c>
      <c r="M148" s="92">
        <f t="shared" si="67"/>
        <v>871.44857000000002</v>
      </c>
      <c r="N148" s="93">
        <f t="shared" si="68"/>
        <v>5.1429999999982101E-2</v>
      </c>
      <c r="O148" s="70">
        <f t="shared" si="53"/>
        <v>99.994098680436025</v>
      </c>
      <c r="P148" s="71">
        <f t="shared" ref="P148:P212" si="75">J148-M148</f>
        <v>0</v>
      </c>
      <c r="Q148" s="35">
        <f t="shared" ref="Q148:Q212" si="76">H148-J148</f>
        <v>5.1429999999982101E-2</v>
      </c>
      <c r="R148" s="72">
        <v>1103709</v>
      </c>
      <c r="S148" s="72">
        <f t="shared" ref="S148:S212" si="77">G148-M148</f>
        <v>426.55142999999998</v>
      </c>
      <c r="T148" s="62">
        <f t="shared" si="62"/>
        <v>426.55142999999998</v>
      </c>
    </row>
    <row r="149" spans="1:20" ht="25.5" hidden="1">
      <c r="A149" s="100"/>
      <c r="B149" s="15"/>
      <c r="C149" s="57" t="s">
        <v>43</v>
      </c>
      <c r="D149" s="16"/>
      <c r="E149" s="20"/>
      <c r="F149" s="3" t="s">
        <v>44</v>
      </c>
      <c r="G149" s="59">
        <f t="shared" ref="G149:N150" si="78">G150</f>
        <v>0</v>
      </c>
      <c r="H149" s="59">
        <f t="shared" si="78"/>
        <v>0</v>
      </c>
      <c r="I149" s="59">
        <f t="shared" si="78"/>
        <v>0</v>
      </c>
      <c r="J149" s="33">
        <f t="shared" si="78"/>
        <v>0</v>
      </c>
      <c r="K149" s="35">
        <f>'1.02.'!M139</f>
        <v>0</v>
      </c>
      <c r="L149" s="29">
        <f t="shared" si="78"/>
        <v>0</v>
      </c>
      <c r="M149" s="59">
        <f t="shared" si="78"/>
        <v>0</v>
      </c>
      <c r="N149" s="59">
        <f t="shared" si="78"/>
        <v>0</v>
      </c>
      <c r="O149" s="70"/>
      <c r="P149" s="71">
        <f t="shared" si="75"/>
        <v>0</v>
      </c>
      <c r="Q149" s="35">
        <f t="shared" si="76"/>
        <v>0</v>
      </c>
      <c r="R149" s="72">
        <v>1103710</v>
      </c>
      <c r="S149" s="72">
        <f t="shared" si="77"/>
        <v>0</v>
      </c>
    </row>
    <row r="150" spans="1:20" hidden="1">
      <c r="A150" s="9"/>
      <c r="B150" s="12"/>
      <c r="C150" s="12"/>
      <c r="D150" s="11" t="s">
        <v>7</v>
      </c>
      <c r="E150" s="97"/>
      <c r="F150" s="4" t="s">
        <v>22</v>
      </c>
      <c r="G150" s="98">
        <f>G151</f>
        <v>0</v>
      </c>
      <c r="H150" s="98">
        <f t="shared" si="78"/>
        <v>0</v>
      </c>
      <c r="I150" s="98">
        <f t="shared" si="78"/>
        <v>0</v>
      </c>
      <c r="J150" s="99">
        <f t="shared" si="78"/>
        <v>0</v>
      </c>
      <c r="K150" s="35">
        <f>'1.02.'!M140</f>
        <v>0</v>
      </c>
      <c r="L150" s="32">
        <f t="shared" si="78"/>
        <v>0</v>
      </c>
      <c r="M150" s="98">
        <f t="shared" si="78"/>
        <v>0</v>
      </c>
      <c r="N150" s="98">
        <f t="shared" si="78"/>
        <v>0</v>
      </c>
      <c r="O150" s="68" t="e">
        <f>M150/I150*100</f>
        <v>#DIV/0!</v>
      </c>
      <c r="P150" s="71">
        <f t="shared" si="75"/>
        <v>0</v>
      </c>
      <c r="Q150" s="35">
        <f t="shared" si="76"/>
        <v>0</v>
      </c>
      <c r="R150" s="72">
        <v>1103711</v>
      </c>
      <c r="S150" s="72">
        <f t="shared" si="77"/>
        <v>0</v>
      </c>
      <c r="T150" s="62">
        <f>G150-J150</f>
        <v>0</v>
      </c>
    </row>
    <row r="151" spans="1:20" ht="25.5" hidden="1">
      <c r="A151" s="9"/>
      <c r="B151" s="13"/>
      <c r="C151" s="13"/>
      <c r="D151" s="14"/>
      <c r="E151" s="20">
        <v>414</v>
      </c>
      <c r="F151" s="86" t="s">
        <v>64</v>
      </c>
      <c r="G151" s="37"/>
      <c r="H151" s="37"/>
      <c r="I151" s="37"/>
      <c r="J151" s="75"/>
      <c r="K151" s="35">
        <f>'1.02.'!M141</f>
        <v>0</v>
      </c>
      <c r="L151" s="71"/>
      <c r="M151" s="93">
        <f t="shared" si="67"/>
        <v>0</v>
      </c>
      <c r="N151" s="93">
        <f>I151-M151</f>
        <v>0</v>
      </c>
      <c r="O151" s="70"/>
      <c r="P151" s="71">
        <f t="shared" si="75"/>
        <v>0</v>
      </c>
      <c r="Q151" s="35">
        <f t="shared" si="76"/>
        <v>0</v>
      </c>
      <c r="R151" s="72">
        <v>1103712</v>
      </c>
      <c r="S151" s="72">
        <f t="shared" si="77"/>
        <v>0</v>
      </c>
    </row>
    <row r="152" spans="1:20" s="73" customFormat="1">
      <c r="A152" s="8"/>
      <c r="B152" s="8" t="s">
        <v>14</v>
      </c>
      <c r="C152" s="8"/>
      <c r="D152" s="21"/>
      <c r="E152" s="21"/>
      <c r="F152" s="139" t="s">
        <v>120</v>
      </c>
      <c r="G152" s="59">
        <f>G153+G174</f>
        <v>316128</v>
      </c>
      <c r="H152" s="59">
        <f t="shared" ref="H152:N152" si="79">H153+H174</f>
        <v>113906.5</v>
      </c>
      <c r="I152" s="59">
        <f t="shared" si="79"/>
        <v>95389.5</v>
      </c>
      <c r="J152" s="29">
        <f t="shared" si="79"/>
        <v>112725.98209999999</v>
      </c>
      <c r="K152" s="29">
        <f t="shared" si="79"/>
        <v>18632.26413</v>
      </c>
      <c r="L152" s="29">
        <f t="shared" si="79"/>
        <v>25062.728640000001</v>
      </c>
      <c r="M152" s="29">
        <f t="shared" si="79"/>
        <v>95388.562909999993</v>
      </c>
      <c r="N152" s="29">
        <f t="shared" si="79"/>
        <v>0.93708999999991249</v>
      </c>
      <c r="O152" s="68">
        <f t="shared" si="53"/>
        <v>99.999017617242984</v>
      </c>
      <c r="P152" s="71">
        <f t="shared" si="75"/>
        <v>17337.419190000001</v>
      </c>
      <c r="Q152" s="35">
        <f t="shared" si="76"/>
        <v>1180.5179000000062</v>
      </c>
      <c r="R152" s="72">
        <v>1103713</v>
      </c>
      <c r="S152" s="72">
        <f t="shared" si="77"/>
        <v>220739.43709000002</v>
      </c>
      <c r="T152" s="62">
        <f t="shared" ref="T152:T231" si="80">G152-J152</f>
        <v>203402.01790000001</v>
      </c>
    </row>
    <row r="153" spans="1:20" ht="38.25">
      <c r="A153" s="8"/>
      <c r="B153" s="8"/>
      <c r="C153" s="17" t="s">
        <v>38</v>
      </c>
      <c r="D153" s="17"/>
      <c r="E153" s="21"/>
      <c r="F153" s="139" t="s">
        <v>121</v>
      </c>
      <c r="G153" s="42">
        <f>G154</f>
        <v>316128</v>
      </c>
      <c r="H153" s="42">
        <f t="shared" ref="H153:N153" si="81">H154</f>
        <v>113906.5</v>
      </c>
      <c r="I153" s="42">
        <f t="shared" si="81"/>
        <v>95389.5</v>
      </c>
      <c r="J153" s="29">
        <f t="shared" si="81"/>
        <v>112725.98209999999</v>
      </c>
      <c r="K153" s="29">
        <f>'1.02.'!M143</f>
        <v>18632.26413</v>
      </c>
      <c r="L153" s="29">
        <f t="shared" si="81"/>
        <v>25062.728640000001</v>
      </c>
      <c r="M153" s="42">
        <f t="shared" si="81"/>
        <v>95388.562909999993</v>
      </c>
      <c r="N153" s="29">
        <f t="shared" si="81"/>
        <v>0.93708999999991249</v>
      </c>
      <c r="O153" s="68">
        <f t="shared" si="53"/>
        <v>99.999017617242984</v>
      </c>
      <c r="P153" s="71">
        <f t="shared" si="75"/>
        <v>17337.419190000001</v>
      </c>
      <c r="Q153" s="35">
        <f t="shared" si="76"/>
        <v>1180.5179000000062</v>
      </c>
      <c r="R153" s="72">
        <v>1103714</v>
      </c>
      <c r="S153" s="72">
        <f t="shared" si="77"/>
        <v>220739.43709000002</v>
      </c>
      <c r="T153" s="62">
        <f t="shared" si="80"/>
        <v>203402.01790000001</v>
      </c>
    </row>
    <row r="154" spans="1:20">
      <c r="A154" s="8"/>
      <c r="B154" s="8"/>
      <c r="C154" s="17"/>
      <c r="D154" s="17" t="s">
        <v>7</v>
      </c>
      <c r="E154" s="10"/>
      <c r="F154" s="140" t="s">
        <v>85</v>
      </c>
      <c r="G154" s="40">
        <f>SUM(G155:G173)</f>
        <v>316128</v>
      </c>
      <c r="H154" s="40">
        <f>SUM(H155:H173)</f>
        <v>113906.5</v>
      </c>
      <c r="I154" s="40">
        <f>SUM(I155:I173)</f>
        <v>95389.5</v>
      </c>
      <c r="J154" s="24">
        <f>SUM(J155:J173)</f>
        <v>112725.98209999999</v>
      </c>
      <c r="K154" s="24">
        <f t="shared" ref="K154:N154" si="82">SUM(K155:K173)</f>
        <v>70325.834269999992</v>
      </c>
      <c r="L154" s="24">
        <f t="shared" si="82"/>
        <v>25062.728640000001</v>
      </c>
      <c r="M154" s="24">
        <f t="shared" si="82"/>
        <v>95388.562909999993</v>
      </c>
      <c r="N154" s="24">
        <f t="shared" si="82"/>
        <v>0.93708999999991249</v>
      </c>
      <c r="O154" s="66">
        <f t="shared" si="53"/>
        <v>99.999017617242984</v>
      </c>
      <c r="P154" s="71">
        <f t="shared" si="75"/>
        <v>17337.419190000001</v>
      </c>
      <c r="Q154" s="35">
        <f t="shared" si="76"/>
        <v>1180.5179000000062</v>
      </c>
      <c r="R154" s="72">
        <v>1103715</v>
      </c>
      <c r="S154" s="72">
        <f t="shared" si="77"/>
        <v>220739.43709000002</v>
      </c>
      <c r="T154" s="62">
        <f t="shared" si="80"/>
        <v>203402.01790000001</v>
      </c>
    </row>
    <row r="155" spans="1:20">
      <c r="A155" s="8"/>
      <c r="B155" s="9"/>
      <c r="C155" s="9"/>
      <c r="D155" s="69"/>
      <c r="E155" s="69">
        <v>111</v>
      </c>
      <c r="F155" s="136" t="s">
        <v>86</v>
      </c>
      <c r="G155" s="26">
        <v>216606</v>
      </c>
      <c r="H155" s="26">
        <v>70000</v>
      </c>
      <c r="I155" s="26">
        <v>70000</v>
      </c>
      <c r="J155" s="105">
        <f>M155</f>
        <v>70000</v>
      </c>
      <c r="K155" s="35">
        <f>'1.04.'!M155</f>
        <v>52000</v>
      </c>
      <c r="L155" s="27">
        <v>18000</v>
      </c>
      <c r="M155" s="92">
        <f t="shared" si="67"/>
        <v>70000</v>
      </c>
      <c r="N155" s="93">
        <f t="shared" si="68"/>
        <v>0</v>
      </c>
      <c r="O155" s="70">
        <f t="shared" si="53"/>
        <v>100</v>
      </c>
      <c r="P155" s="71">
        <f t="shared" si="75"/>
        <v>0</v>
      </c>
      <c r="Q155" s="35">
        <f t="shared" si="76"/>
        <v>0</v>
      </c>
      <c r="R155" s="72">
        <v>1103716</v>
      </c>
      <c r="S155" s="72">
        <f t="shared" si="77"/>
        <v>146606</v>
      </c>
      <c r="T155" s="62">
        <f t="shared" si="80"/>
        <v>146606</v>
      </c>
    </row>
    <row r="156" spans="1:20">
      <c r="A156" s="8"/>
      <c r="B156" s="9"/>
      <c r="C156" s="9"/>
      <c r="D156" s="69"/>
      <c r="E156" s="69">
        <v>112</v>
      </c>
      <c r="F156" s="136" t="s">
        <v>87</v>
      </c>
      <c r="G156" s="26"/>
      <c r="H156" s="26"/>
      <c r="I156" s="26"/>
      <c r="J156" s="105">
        <f t="shared" ref="J156:J167" si="83">M156</f>
        <v>0</v>
      </c>
      <c r="K156" s="35">
        <f>'1.04.'!M156</f>
        <v>0</v>
      </c>
      <c r="L156" s="27"/>
      <c r="M156" s="92">
        <f t="shared" si="67"/>
        <v>0</v>
      </c>
      <c r="N156" s="93">
        <f t="shared" si="68"/>
        <v>0</v>
      </c>
      <c r="O156" s="70" t="e">
        <f t="shared" si="53"/>
        <v>#DIV/0!</v>
      </c>
      <c r="P156" s="71">
        <f t="shared" si="75"/>
        <v>0</v>
      </c>
      <c r="Q156" s="35">
        <f t="shared" si="76"/>
        <v>0</v>
      </c>
      <c r="R156" s="72">
        <v>1103717</v>
      </c>
      <c r="S156" s="72">
        <f t="shared" si="77"/>
        <v>0</v>
      </c>
    </row>
    <row r="157" spans="1:20">
      <c r="A157" s="8"/>
      <c r="B157" s="9"/>
      <c r="C157" s="9"/>
      <c r="D157" s="69"/>
      <c r="E157" s="76">
        <v>113</v>
      </c>
      <c r="F157" s="136" t="s">
        <v>88</v>
      </c>
      <c r="G157" s="26">
        <v>8519</v>
      </c>
      <c r="H157" s="26">
        <v>1101</v>
      </c>
      <c r="I157" s="26">
        <v>1101</v>
      </c>
      <c r="J157" s="105">
        <f t="shared" si="83"/>
        <v>1101</v>
      </c>
      <c r="K157" s="35">
        <f>'1.04.'!M157</f>
        <v>601</v>
      </c>
      <c r="L157" s="27">
        <v>500</v>
      </c>
      <c r="M157" s="92">
        <f t="shared" si="67"/>
        <v>1101</v>
      </c>
      <c r="N157" s="93">
        <f t="shared" si="68"/>
        <v>0</v>
      </c>
      <c r="O157" s="70">
        <f t="shared" si="53"/>
        <v>100</v>
      </c>
      <c r="P157" s="71">
        <f t="shared" si="75"/>
        <v>0</v>
      </c>
      <c r="Q157" s="35">
        <f t="shared" si="76"/>
        <v>0</v>
      </c>
      <c r="R157" s="72">
        <v>1103718</v>
      </c>
      <c r="S157" s="72">
        <f t="shared" si="77"/>
        <v>7418</v>
      </c>
      <c r="T157" s="62">
        <f t="shared" si="80"/>
        <v>7418</v>
      </c>
    </row>
    <row r="158" spans="1:20">
      <c r="A158" s="8"/>
      <c r="B158" s="9"/>
      <c r="C158" s="9"/>
      <c r="D158" s="69"/>
      <c r="E158" s="69">
        <v>116</v>
      </c>
      <c r="F158" s="136" t="s">
        <v>89</v>
      </c>
      <c r="G158" s="26">
        <v>2134</v>
      </c>
      <c r="H158" s="26">
        <v>680</v>
      </c>
      <c r="I158" s="26">
        <v>680</v>
      </c>
      <c r="J158" s="105">
        <f t="shared" si="83"/>
        <v>680</v>
      </c>
      <c r="K158" s="35">
        <f>'1.04.'!M158</f>
        <v>510</v>
      </c>
      <c r="L158" s="27">
        <v>170</v>
      </c>
      <c r="M158" s="92">
        <f>K158+L158</f>
        <v>680</v>
      </c>
      <c r="N158" s="93">
        <f>I158-M158</f>
        <v>0</v>
      </c>
      <c r="O158" s="70">
        <f>M158/I158*100</f>
        <v>100</v>
      </c>
      <c r="P158" s="71">
        <f t="shared" si="75"/>
        <v>0</v>
      </c>
      <c r="Q158" s="35">
        <f t="shared" si="76"/>
        <v>0</v>
      </c>
      <c r="R158" s="72">
        <v>1103719</v>
      </c>
      <c r="S158" s="72">
        <f t="shared" si="77"/>
        <v>1454</v>
      </c>
    </row>
    <row r="159" spans="1:20">
      <c r="A159" s="8"/>
      <c r="B159" s="9"/>
      <c r="C159" s="9"/>
      <c r="D159" s="69"/>
      <c r="E159" s="69">
        <v>121</v>
      </c>
      <c r="F159" s="136" t="s">
        <v>90</v>
      </c>
      <c r="G159" s="26">
        <v>11697</v>
      </c>
      <c r="H159" s="26">
        <v>3890</v>
      </c>
      <c r="I159" s="26">
        <v>3890</v>
      </c>
      <c r="J159" s="105">
        <f t="shared" si="83"/>
        <v>3890</v>
      </c>
      <c r="K159" s="35">
        <f>'1.04.'!M159</f>
        <v>2910</v>
      </c>
      <c r="L159" s="27">
        <v>980</v>
      </c>
      <c r="M159" s="92">
        <f t="shared" si="67"/>
        <v>3890</v>
      </c>
      <c r="N159" s="93">
        <f t="shared" si="68"/>
        <v>0</v>
      </c>
      <c r="O159" s="70">
        <f t="shared" ref="O159:O227" si="84">M159/I159*100</f>
        <v>100</v>
      </c>
      <c r="P159" s="71">
        <f t="shared" si="75"/>
        <v>0</v>
      </c>
      <c r="Q159" s="35">
        <f t="shared" si="76"/>
        <v>0</v>
      </c>
      <c r="R159" s="72">
        <v>1103720</v>
      </c>
      <c r="S159" s="72">
        <f t="shared" si="77"/>
        <v>7807</v>
      </c>
      <c r="T159" s="62">
        <f t="shared" si="80"/>
        <v>7807</v>
      </c>
    </row>
    <row r="160" spans="1:20" ht="25.5">
      <c r="A160" s="8"/>
      <c r="B160" s="9"/>
      <c r="C160" s="9"/>
      <c r="D160" s="69"/>
      <c r="E160" s="69">
        <v>122</v>
      </c>
      <c r="F160" s="136" t="s">
        <v>91</v>
      </c>
      <c r="G160" s="26">
        <v>9747</v>
      </c>
      <c r="H160" s="26">
        <v>2750</v>
      </c>
      <c r="I160" s="26">
        <v>2750</v>
      </c>
      <c r="J160" s="105">
        <f t="shared" si="83"/>
        <v>2750</v>
      </c>
      <c r="K160" s="35">
        <f>'1.04.'!M160</f>
        <v>2090</v>
      </c>
      <c r="L160" s="27">
        <v>660</v>
      </c>
      <c r="M160" s="92">
        <f t="shared" si="67"/>
        <v>2750</v>
      </c>
      <c r="N160" s="93">
        <f t="shared" si="68"/>
        <v>0</v>
      </c>
      <c r="O160" s="70">
        <f t="shared" si="84"/>
        <v>100</v>
      </c>
      <c r="P160" s="71">
        <f t="shared" si="75"/>
        <v>0</v>
      </c>
      <c r="Q160" s="35">
        <f t="shared" si="76"/>
        <v>0</v>
      </c>
      <c r="R160" s="72">
        <v>1103721</v>
      </c>
      <c r="S160" s="72">
        <f t="shared" si="77"/>
        <v>6997</v>
      </c>
      <c r="T160" s="62">
        <f t="shared" si="80"/>
        <v>6997</v>
      </c>
    </row>
    <row r="161" spans="1:20">
      <c r="A161" s="8"/>
      <c r="B161" s="9"/>
      <c r="C161" s="9"/>
      <c r="D161" s="69"/>
      <c r="E161" s="69">
        <v>123</v>
      </c>
      <c r="F161" s="136" t="s">
        <v>92</v>
      </c>
      <c r="G161" s="26">
        <v>235</v>
      </c>
      <c r="H161" s="26">
        <v>91.6</v>
      </c>
      <c r="I161" s="26">
        <v>91.6</v>
      </c>
      <c r="J161" s="105">
        <f t="shared" si="83"/>
        <v>91.524770000000004</v>
      </c>
      <c r="K161" s="35">
        <f>'1.04.'!M161</f>
        <v>65</v>
      </c>
      <c r="L161" s="27">
        <v>26.52477</v>
      </c>
      <c r="M161" s="92">
        <f t="shared" si="67"/>
        <v>91.524770000000004</v>
      </c>
      <c r="N161" s="93">
        <f t="shared" si="68"/>
        <v>7.5229999999990582E-2</v>
      </c>
      <c r="O161" s="70">
        <f t="shared" si="84"/>
        <v>99.917871179039309</v>
      </c>
      <c r="P161" s="71">
        <f t="shared" si="75"/>
        <v>0</v>
      </c>
      <c r="Q161" s="35">
        <f t="shared" si="76"/>
        <v>7.5229999999990582E-2</v>
      </c>
      <c r="R161" s="72">
        <v>1103722</v>
      </c>
      <c r="S161" s="72">
        <f t="shared" si="77"/>
        <v>143.47523000000001</v>
      </c>
      <c r="T161" s="62">
        <f t="shared" si="80"/>
        <v>143.47523000000001</v>
      </c>
    </row>
    <row r="162" spans="1:20">
      <c r="A162" s="9"/>
      <c r="B162" s="9"/>
      <c r="C162" s="9"/>
      <c r="D162" s="69"/>
      <c r="E162" s="69">
        <v>124</v>
      </c>
      <c r="F162" s="136" t="s">
        <v>93</v>
      </c>
      <c r="G162" s="26">
        <v>6378</v>
      </c>
      <c r="H162" s="26">
        <v>1640</v>
      </c>
      <c r="I162" s="26">
        <v>1640</v>
      </c>
      <c r="J162" s="105">
        <f t="shared" si="83"/>
        <v>1640</v>
      </c>
      <c r="K162" s="35">
        <f>'1.04.'!M162</f>
        <v>1250</v>
      </c>
      <c r="L162" s="27">
        <v>390</v>
      </c>
      <c r="M162" s="92">
        <f t="shared" si="67"/>
        <v>1640</v>
      </c>
      <c r="N162" s="93">
        <f t="shared" si="68"/>
        <v>0</v>
      </c>
      <c r="O162" s="70">
        <f t="shared" si="84"/>
        <v>100</v>
      </c>
      <c r="P162" s="71">
        <f t="shared" si="75"/>
        <v>0</v>
      </c>
      <c r="Q162" s="35">
        <f t="shared" si="76"/>
        <v>0</v>
      </c>
      <c r="R162" s="72">
        <v>1103723</v>
      </c>
      <c r="S162" s="72">
        <f t="shared" si="77"/>
        <v>4738</v>
      </c>
      <c r="T162" s="62">
        <f t="shared" si="80"/>
        <v>4738</v>
      </c>
    </row>
    <row r="163" spans="1:20" s="73" customFormat="1">
      <c r="A163" s="9"/>
      <c r="B163" s="9"/>
      <c r="C163" s="9"/>
      <c r="D163" s="69"/>
      <c r="E163" s="69">
        <v>141</v>
      </c>
      <c r="F163" s="136" t="s">
        <v>116</v>
      </c>
      <c r="G163" s="26">
        <v>20147</v>
      </c>
      <c r="H163" s="26">
        <v>18580</v>
      </c>
      <c r="I163" s="26">
        <v>5400</v>
      </c>
      <c r="J163" s="105">
        <v>18579.949199999999</v>
      </c>
      <c r="K163" s="35">
        <f>'1.04.'!M163</f>
        <v>4600</v>
      </c>
      <c r="L163" s="27">
        <v>800</v>
      </c>
      <c r="M163" s="92">
        <f t="shared" si="67"/>
        <v>5400</v>
      </c>
      <c r="N163" s="93">
        <f t="shared" si="68"/>
        <v>0</v>
      </c>
      <c r="O163" s="70">
        <f t="shared" si="84"/>
        <v>100</v>
      </c>
      <c r="P163" s="71">
        <f t="shared" si="75"/>
        <v>13179.949199999999</v>
      </c>
      <c r="Q163" s="35">
        <f t="shared" si="76"/>
        <v>5.0800000000890577E-2</v>
      </c>
      <c r="R163" s="72">
        <v>1103724</v>
      </c>
      <c r="S163" s="72">
        <f t="shared" si="77"/>
        <v>14747</v>
      </c>
      <c r="T163" s="62">
        <f t="shared" si="80"/>
        <v>1567.0508000000009</v>
      </c>
    </row>
    <row r="164" spans="1:20" ht="25.5">
      <c r="A164" s="9"/>
      <c r="B164" s="9"/>
      <c r="C164" s="9"/>
      <c r="D164" s="69"/>
      <c r="E164" s="69">
        <v>142</v>
      </c>
      <c r="F164" s="136" t="s">
        <v>122</v>
      </c>
      <c r="G164" s="26">
        <v>2651</v>
      </c>
      <c r="H164" s="26"/>
      <c r="I164" s="26"/>
      <c r="J164" s="105">
        <f t="shared" si="83"/>
        <v>0</v>
      </c>
      <c r="K164" s="35">
        <f>'1.04.'!M164</f>
        <v>0</v>
      </c>
      <c r="L164" s="27"/>
      <c r="M164" s="92">
        <f t="shared" si="67"/>
        <v>0</v>
      </c>
      <c r="N164" s="93">
        <f t="shared" si="68"/>
        <v>0</v>
      </c>
      <c r="O164" s="70" t="e">
        <f t="shared" si="84"/>
        <v>#DIV/0!</v>
      </c>
      <c r="P164" s="71">
        <f t="shared" si="75"/>
        <v>0</v>
      </c>
      <c r="Q164" s="35">
        <f t="shared" si="76"/>
        <v>0</v>
      </c>
      <c r="R164" s="72">
        <v>1103725</v>
      </c>
      <c r="S164" s="72">
        <f t="shared" si="77"/>
        <v>2651</v>
      </c>
      <c r="T164" s="62">
        <f t="shared" si="80"/>
        <v>2651</v>
      </c>
    </row>
    <row r="165" spans="1:20">
      <c r="A165" s="9"/>
      <c r="B165" s="9"/>
      <c r="C165" s="9"/>
      <c r="D165" s="69"/>
      <c r="E165" s="69">
        <v>144</v>
      </c>
      <c r="F165" s="136" t="s">
        <v>97</v>
      </c>
      <c r="G165" s="26">
        <v>1400</v>
      </c>
      <c r="H165" s="26">
        <v>1400</v>
      </c>
      <c r="I165" s="26">
        <v>1400</v>
      </c>
      <c r="J165" s="105">
        <v>1399.8342700000001</v>
      </c>
      <c r="K165" s="35">
        <f>'1.04.'!M165</f>
        <v>1399.8342700000001</v>
      </c>
      <c r="L165" s="27"/>
      <c r="M165" s="92">
        <f t="shared" si="67"/>
        <v>1399.8342700000001</v>
      </c>
      <c r="N165" s="93">
        <f t="shared" si="68"/>
        <v>0.16572999999993954</v>
      </c>
      <c r="O165" s="70">
        <f t="shared" si="84"/>
        <v>99.988162142857149</v>
      </c>
      <c r="P165" s="71">
        <f t="shared" si="75"/>
        <v>0</v>
      </c>
      <c r="Q165" s="35">
        <f t="shared" si="76"/>
        <v>0.16572999999993954</v>
      </c>
      <c r="R165" s="72">
        <v>1103726</v>
      </c>
      <c r="S165" s="72">
        <f t="shared" si="77"/>
        <v>0.16572999999993954</v>
      </c>
      <c r="T165" s="62">
        <f t="shared" si="80"/>
        <v>0.16572999999993954</v>
      </c>
    </row>
    <row r="166" spans="1:20">
      <c r="A166" s="9"/>
      <c r="B166" s="9"/>
      <c r="C166" s="9"/>
      <c r="D166" s="69"/>
      <c r="E166" s="69">
        <v>149</v>
      </c>
      <c r="F166" s="136" t="s">
        <v>98</v>
      </c>
      <c r="G166" s="26">
        <v>9495</v>
      </c>
      <c r="H166" s="26">
        <v>773.4</v>
      </c>
      <c r="I166" s="26">
        <v>773.4</v>
      </c>
      <c r="J166" s="105">
        <f t="shared" si="83"/>
        <v>773.4</v>
      </c>
      <c r="K166" s="35">
        <f>'1.04.'!M166</f>
        <v>0</v>
      </c>
      <c r="L166" s="27">
        <v>773.4</v>
      </c>
      <c r="M166" s="92">
        <f t="shared" si="67"/>
        <v>773.4</v>
      </c>
      <c r="N166" s="93">
        <f t="shared" si="68"/>
        <v>0</v>
      </c>
      <c r="O166" s="70">
        <f t="shared" si="84"/>
        <v>100</v>
      </c>
      <c r="P166" s="71">
        <f t="shared" si="75"/>
        <v>0</v>
      </c>
      <c r="Q166" s="35">
        <f t="shared" si="76"/>
        <v>0</v>
      </c>
      <c r="R166" s="72">
        <v>1103727</v>
      </c>
      <c r="S166" s="72">
        <f t="shared" si="77"/>
        <v>8721.6</v>
      </c>
      <c r="T166" s="62">
        <f t="shared" si="80"/>
        <v>8721.6</v>
      </c>
    </row>
    <row r="167" spans="1:20">
      <c r="A167" s="9"/>
      <c r="B167" s="9"/>
      <c r="C167" s="9"/>
      <c r="D167" s="69"/>
      <c r="E167" s="69">
        <v>151</v>
      </c>
      <c r="F167" s="136" t="s">
        <v>99</v>
      </c>
      <c r="G167" s="26">
        <v>17588</v>
      </c>
      <c r="H167" s="26">
        <v>5900</v>
      </c>
      <c r="I167" s="26">
        <v>5900</v>
      </c>
      <c r="J167" s="105">
        <f t="shared" si="83"/>
        <v>5900</v>
      </c>
      <c r="K167" s="35">
        <f>'1.04.'!M167</f>
        <v>4000</v>
      </c>
      <c r="L167" s="27">
        <v>1900</v>
      </c>
      <c r="M167" s="92">
        <f t="shared" si="67"/>
        <v>5900</v>
      </c>
      <c r="N167" s="93">
        <f t="shared" si="68"/>
        <v>0</v>
      </c>
      <c r="O167" s="70">
        <f t="shared" si="84"/>
        <v>100</v>
      </c>
      <c r="P167" s="71">
        <f t="shared" si="75"/>
        <v>0</v>
      </c>
      <c r="Q167" s="35">
        <f t="shared" si="76"/>
        <v>0</v>
      </c>
      <c r="R167" s="72">
        <v>1103728</v>
      </c>
      <c r="S167" s="72">
        <f t="shared" si="77"/>
        <v>11688</v>
      </c>
      <c r="T167" s="62">
        <f t="shared" si="80"/>
        <v>11688</v>
      </c>
    </row>
    <row r="168" spans="1:20">
      <c r="A168" s="9"/>
      <c r="B168" s="9"/>
      <c r="C168" s="9"/>
      <c r="D168" s="69"/>
      <c r="E168" s="69">
        <v>152</v>
      </c>
      <c r="F168" s="136" t="s">
        <v>100</v>
      </c>
      <c r="G168" s="26">
        <v>1401</v>
      </c>
      <c r="H168" s="26">
        <v>1401</v>
      </c>
      <c r="I168" s="26">
        <v>262.10000000000002</v>
      </c>
      <c r="J168" s="105">
        <v>956.68</v>
      </c>
      <c r="K168" s="35">
        <f>'1.04.'!M168</f>
        <v>182.1</v>
      </c>
      <c r="L168" s="27">
        <v>79.595870000000005</v>
      </c>
      <c r="M168" s="92">
        <f t="shared" si="67"/>
        <v>261.69587000000001</v>
      </c>
      <c r="N168" s="93">
        <f t="shared" si="68"/>
        <v>0.4041300000000092</v>
      </c>
      <c r="O168" s="70">
        <f t="shared" si="84"/>
        <v>99.845810759252188</v>
      </c>
      <c r="P168" s="71">
        <f t="shared" si="75"/>
        <v>694.98412999999994</v>
      </c>
      <c r="Q168" s="35">
        <f t="shared" si="76"/>
        <v>444.32000000000005</v>
      </c>
      <c r="R168" s="72">
        <v>1103729</v>
      </c>
      <c r="S168" s="72">
        <f t="shared" si="77"/>
        <v>1139.30413</v>
      </c>
      <c r="T168" s="62">
        <f t="shared" si="80"/>
        <v>444.32000000000005</v>
      </c>
    </row>
    <row r="169" spans="1:20" ht="25.5">
      <c r="A169" s="9"/>
      <c r="B169" s="9"/>
      <c r="C169" s="9"/>
      <c r="D169" s="69"/>
      <c r="E169" s="69">
        <v>158</v>
      </c>
      <c r="F169" s="136" t="s">
        <v>101</v>
      </c>
      <c r="G169" s="26">
        <f>730+1099.4</f>
        <v>1829.4</v>
      </c>
      <c r="H169" s="26">
        <v>1829.4</v>
      </c>
      <c r="I169" s="26">
        <v>564.9</v>
      </c>
      <c r="J169" s="105">
        <v>1098.56</v>
      </c>
      <c r="K169" s="35">
        <f>'1.04.'!M169</f>
        <v>417.9</v>
      </c>
      <c r="L169" s="27">
        <v>147</v>
      </c>
      <c r="M169" s="92">
        <f t="shared" si="67"/>
        <v>564.9</v>
      </c>
      <c r="N169" s="93">
        <f t="shared" si="68"/>
        <v>0</v>
      </c>
      <c r="O169" s="70">
        <f t="shared" si="84"/>
        <v>100</v>
      </c>
      <c r="P169" s="71">
        <f t="shared" si="75"/>
        <v>533.66</v>
      </c>
      <c r="Q169" s="35">
        <f t="shared" si="76"/>
        <v>730.84000000000015</v>
      </c>
      <c r="R169" s="72">
        <v>1103730</v>
      </c>
      <c r="S169" s="72">
        <f t="shared" si="77"/>
        <v>1264.5</v>
      </c>
      <c r="T169" s="62">
        <f t="shared" si="80"/>
        <v>730.84000000000015</v>
      </c>
    </row>
    <row r="170" spans="1:20">
      <c r="A170" s="9"/>
      <c r="B170" s="9"/>
      <c r="C170" s="9"/>
      <c r="D170" s="69"/>
      <c r="E170" s="69">
        <v>159</v>
      </c>
      <c r="F170" s="136" t="s">
        <v>84</v>
      </c>
      <c r="G170" s="26">
        <f>6564-1099.4</f>
        <v>5464.6</v>
      </c>
      <c r="H170" s="26">
        <v>3533.6</v>
      </c>
      <c r="I170" s="26">
        <v>600</v>
      </c>
      <c r="J170" s="105">
        <v>3528.8258599999999</v>
      </c>
      <c r="K170" s="35">
        <f>'1.04.'!M170</f>
        <v>300</v>
      </c>
      <c r="L170" s="27">
        <v>300</v>
      </c>
      <c r="M170" s="92">
        <f t="shared" si="67"/>
        <v>600</v>
      </c>
      <c r="N170" s="93">
        <f t="shared" si="68"/>
        <v>0</v>
      </c>
      <c r="O170" s="70">
        <f t="shared" si="84"/>
        <v>100</v>
      </c>
      <c r="P170" s="71">
        <f t="shared" si="75"/>
        <v>2928.8258599999999</v>
      </c>
      <c r="Q170" s="35">
        <f t="shared" si="76"/>
        <v>4.7741399999999885</v>
      </c>
      <c r="R170" s="72">
        <v>1103731</v>
      </c>
      <c r="S170" s="72">
        <f t="shared" si="77"/>
        <v>4864.6000000000004</v>
      </c>
      <c r="T170" s="62">
        <f t="shared" si="80"/>
        <v>1935.7741400000004</v>
      </c>
    </row>
    <row r="171" spans="1:20">
      <c r="A171" s="9"/>
      <c r="B171" s="9"/>
      <c r="C171" s="9"/>
      <c r="D171" s="69"/>
      <c r="E171" s="69">
        <v>161</v>
      </c>
      <c r="F171" s="136" t="s">
        <v>102</v>
      </c>
      <c r="G171" s="26">
        <v>816</v>
      </c>
      <c r="H171" s="26">
        <v>326.5</v>
      </c>
      <c r="I171" s="26">
        <v>326.5</v>
      </c>
      <c r="J171" s="105">
        <f t="shared" ref="J171:J173" si="85">M171</f>
        <v>326.20800000000003</v>
      </c>
      <c r="K171" s="35">
        <f>'1.04.'!M171</f>
        <v>0</v>
      </c>
      <c r="L171" s="27">
        <v>326.20800000000003</v>
      </c>
      <c r="M171" s="92">
        <f t="shared" si="67"/>
        <v>326.20800000000003</v>
      </c>
      <c r="N171" s="93">
        <f t="shared" si="68"/>
        <v>0.29199999999997317</v>
      </c>
      <c r="O171" s="70">
        <f t="shared" si="84"/>
        <v>99.910566615620226</v>
      </c>
      <c r="P171" s="71">
        <f t="shared" si="75"/>
        <v>0</v>
      </c>
      <c r="Q171" s="35">
        <f t="shared" si="76"/>
        <v>0.29199999999997317</v>
      </c>
      <c r="R171" s="72">
        <v>1103732</v>
      </c>
      <c r="S171" s="72">
        <f t="shared" si="77"/>
        <v>489.79199999999997</v>
      </c>
      <c r="T171" s="62">
        <f t="shared" si="80"/>
        <v>489.79199999999997</v>
      </c>
    </row>
    <row r="172" spans="1:20">
      <c r="A172" s="9"/>
      <c r="B172" s="9"/>
      <c r="C172" s="9"/>
      <c r="D172" s="69"/>
      <c r="E172" s="69">
        <v>168</v>
      </c>
      <c r="F172" s="136" t="s">
        <v>167</v>
      </c>
      <c r="G172" s="26">
        <v>20</v>
      </c>
      <c r="H172" s="26">
        <v>10</v>
      </c>
      <c r="I172" s="26">
        <v>10</v>
      </c>
      <c r="J172" s="105">
        <f t="shared" si="85"/>
        <v>10</v>
      </c>
      <c r="K172" s="35"/>
      <c r="L172" s="27">
        <v>10</v>
      </c>
      <c r="M172" s="92">
        <f t="shared" ref="M172" si="86">K172+L172</f>
        <v>10</v>
      </c>
      <c r="N172" s="93">
        <f t="shared" ref="N172" si="87">I172-M172</f>
        <v>0</v>
      </c>
      <c r="O172" s="70">
        <f t="shared" ref="O172" si="88">M172/I172*100</f>
        <v>100</v>
      </c>
      <c r="P172" s="71">
        <f t="shared" ref="P172" si="89">J172-M172</f>
        <v>0</v>
      </c>
      <c r="Q172" s="35">
        <f t="shared" ref="Q172" si="90">H172-J172</f>
        <v>0</v>
      </c>
      <c r="R172" s="72">
        <v>1103733</v>
      </c>
      <c r="S172" s="72">
        <f t="shared" ref="S172" si="91">G172-M172</f>
        <v>10</v>
      </c>
    </row>
    <row r="173" spans="1:20">
      <c r="A173" s="9"/>
      <c r="B173" s="9"/>
      <c r="C173" s="9"/>
      <c r="D173" s="69"/>
      <c r="E173" s="69">
        <v>169</v>
      </c>
      <c r="F173" s="136" t="s">
        <v>103</v>
      </c>
      <c r="G173" s="26">
        <f>20-20</f>
        <v>0</v>
      </c>
      <c r="H173" s="26"/>
      <c r="I173" s="26"/>
      <c r="J173" s="105">
        <f t="shared" si="85"/>
        <v>0</v>
      </c>
      <c r="K173" s="35">
        <f>'1.04.'!M172</f>
        <v>0</v>
      </c>
      <c r="L173" s="27"/>
      <c r="M173" s="92">
        <f>K173+L173</f>
        <v>0</v>
      </c>
      <c r="N173" s="93">
        <f t="shared" si="68"/>
        <v>0</v>
      </c>
      <c r="O173" s="70" t="e">
        <f t="shared" si="84"/>
        <v>#DIV/0!</v>
      </c>
      <c r="P173" s="71">
        <f t="shared" si="75"/>
        <v>0</v>
      </c>
      <c r="Q173" s="35">
        <f t="shared" si="76"/>
        <v>0</v>
      </c>
      <c r="R173" s="72">
        <v>1103733</v>
      </c>
      <c r="S173" s="72">
        <f t="shared" si="77"/>
        <v>0</v>
      </c>
      <c r="T173" s="62">
        <f t="shared" si="80"/>
        <v>0</v>
      </c>
    </row>
    <row r="174" spans="1:20" ht="25.5" hidden="1">
      <c r="A174" s="100"/>
      <c r="B174" s="15"/>
      <c r="C174" s="57" t="s">
        <v>43</v>
      </c>
      <c r="D174" s="16"/>
      <c r="E174" s="20"/>
      <c r="F174" s="3" t="s">
        <v>44</v>
      </c>
      <c r="G174" s="59">
        <f t="shared" ref="G174:N174" si="92">G175</f>
        <v>0</v>
      </c>
      <c r="H174" s="59">
        <f t="shared" si="92"/>
        <v>0</v>
      </c>
      <c r="I174" s="59">
        <f t="shared" si="92"/>
        <v>0</v>
      </c>
      <c r="J174" s="29">
        <f t="shared" si="92"/>
        <v>0</v>
      </c>
      <c r="K174" s="35">
        <f>'1.02.'!M163</f>
        <v>0</v>
      </c>
      <c r="L174" s="59">
        <f t="shared" si="92"/>
        <v>0</v>
      </c>
      <c r="M174" s="29">
        <f t="shared" si="92"/>
        <v>0</v>
      </c>
      <c r="N174" s="29">
        <f t="shared" si="92"/>
        <v>0</v>
      </c>
      <c r="O174" s="70"/>
      <c r="P174" s="71">
        <f t="shared" si="75"/>
        <v>0</v>
      </c>
      <c r="Q174" s="35">
        <f t="shared" si="76"/>
        <v>0</v>
      </c>
      <c r="R174" s="72">
        <v>1103734</v>
      </c>
      <c r="S174" s="72">
        <f t="shared" si="77"/>
        <v>0</v>
      </c>
    </row>
    <row r="175" spans="1:20" hidden="1">
      <c r="A175" s="9"/>
      <c r="B175" s="12"/>
      <c r="C175" s="12"/>
      <c r="D175" s="11" t="s">
        <v>7</v>
      </c>
      <c r="E175" s="97"/>
      <c r="F175" s="4" t="s">
        <v>22</v>
      </c>
      <c r="G175" s="98">
        <f>G176+G177+G178</f>
        <v>0</v>
      </c>
      <c r="H175" s="98">
        <f t="shared" ref="H175:M175" si="93">H176+H177+H178</f>
        <v>0</v>
      </c>
      <c r="I175" s="98">
        <f t="shared" si="93"/>
        <v>0</v>
      </c>
      <c r="J175" s="32">
        <f t="shared" si="93"/>
        <v>0</v>
      </c>
      <c r="K175" s="35">
        <f>'1.02.'!M164</f>
        <v>0</v>
      </c>
      <c r="L175" s="98">
        <f t="shared" si="93"/>
        <v>0</v>
      </c>
      <c r="M175" s="98">
        <f t="shared" si="93"/>
        <v>0</v>
      </c>
      <c r="N175" s="99">
        <f>N176+N177+N178</f>
        <v>0</v>
      </c>
      <c r="O175" s="68" t="e">
        <f>M175/I175*100</f>
        <v>#DIV/0!</v>
      </c>
      <c r="P175" s="71">
        <f t="shared" si="75"/>
        <v>0</v>
      </c>
      <c r="Q175" s="35">
        <f t="shared" si="76"/>
        <v>0</v>
      </c>
      <c r="R175" s="72">
        <v>1103735</v>
      </c>
      <c r="S175" s="72">
        <f t="shared" si="77"/>
        <v>0</v>
      </c>
      <c r="T175" s="62">
        <f>G175-J175</f>
        <v>0</v>
      </c>
    </row>
    <row r="176" spans="1:20" hidden="1">
      <c r="A176" s="9"/>
      <c r="B176" s="13"/>
      <c r="C176" s="13"/>
      <c r="D176" s="14"/>
      <c r="E176" s="20">
        <v>413</v>
      </c>
      <c r="F176" s="106" t="s">
        <v>56</v>
      </c>
      <c r="G176" s="34"/>
      <c r="H176" s="34"/>
      <c r="I176" s="34"/>
      <c r="J176" s="107">
        <f>M176</f>
        <v>0</v>
      </c>
      <c r="K176" s="35">
        <f>'1.02.'!M165</f>
        <v>0</v>
      </c>
      <c r="L176" s="34"/>
      <c r="M176" s="92">
        <f t="shared" ref="M176:M178" si="94">K176+L176</f>
        <v>0</v>
      </c>
      <c r="N176" s="93">
        <f t="shared" ref="N176:N178" si="95">I176-M176</f>
        <v>0</v>
      </c>
      <c r="O176" s="70"/>
      <c r="P176" s="71">
        <f t="shared" si="75"/>
        <v>0</v>
      </c>
      <c r="Q176" s="35">
        <f t="shared" si="76"/>
        <v>0</v>
      </c>
      <c r="R176" s="72">
        <v>1103736</v>
      </c>
      <c r="S176" s="72">
        <f t="shared" si="77"/>
        <v>0</v>
      </c>
    </row>
    <row r="177" spans="1:20" ht="25.5" hidden="1">
      <c r="A177" s="9"/>
      <c r="B177" s="13"/>
      <c r="C177" s="13"/>
      <c r="D177" s="14"/>
      <c r="E177" s="20">
        <v>414</v>
      </c>
      <c r="F177" s="86" t="s">
        <v>64</v>
      </c>
      <c r="G177" s="37"/>
      <c r="H177" s="37"/>
      <c r="I177" s="37"/>
      <c r="J177" s="107">
        <f t="shared" ref="J177:J178" si="96">M177</f>
        <v>0</v>
      </c>
      <c r="K177" s="35">
        <f>'1.02.'!M166</f>
        <v>0</v>
      </c>
      <c r="L177" s="37"/>
      <c r="M177" s="92">
        <f t="shared" si="94"/>
        <v>0</v>
      </c>
      <c r="N177" s="93">
        <f t="shared" si="95"/>
        <v>0</v>
      </c>
      <c r="O177" s="70"/>
      <c r="P177" s="71">
        <f t="shared" si="75"/>
        <v>0</v>
      </c>
      <c r="Q177" s="35">
        <f t="shared" si="76"/>
        <v>0</v>
      </c>
      <c r="R177" s="72">
        <v>1103737</v>
      </c>
      <c r="S177" s="72">
        <f t="shared" si="77"/>
        <v>0</v>
      </c>
    </row>
    <row r="178" spans="1:20" ht="25.5" hidden="1">
      <c r="A178" s="100"/>
      <c r="B178" s="15"/>
      <c r="C178" s="15"/>
      <c r="D178" s="16"/>
      <c r="E178" s="20">
        <v>421</v>
      </c>
      <c r="F178" s="3" t="s">
        <v>60</v>
      </c>
      <c r="G178" s="37"/>
      <c r="H178" s="37"/>
      <c r="I178" s="37"/>
      <c r="J178" s="107">
        <f t="shared" si="96"/>
        <v>0</v>
      </c>
      <c r="K178" s="35">
        <f>'1.02.'!M167</f>
        <v>0</v>
      </c>
      <c r="L178" s="35"/>
      <c r="M178" s="92">
        <f t="shared" si="94"/>
        <v>0</v>
      </c>
      <c r="N178" s="93">
        <f t="shared" si="95"/>
        <v>0</v>
      </c>
      <c r="O178" s="70" t="e">
        <f t="shared" ref="O178" si="97">M178/I178*100</f>
        <v>#DIV/0!</v>
      </c>
      <c r="P178" s="71">
        <f t="shared" si="75"/>
        <v>0</v>
      </c>
      <c r="Q178" s="35">
        <f t="shared" si="76"/>
        <v>0</v>
      </c>
      <c r="R178" s="72">
        <v>1103738</v>
      </c>
      <c r="S178" s="72">
        <f t="shared" si="77"/>
        <v>0</v>
      </c>
    </row>
    <row r="179" spans="1:20" s="95" customFormat="1" ht="13.5">
      <c r="A179" s="8"/>
      <c r="B179" s="57">
        <v>1265</v>
      </c>
      <c r="C179" s="12"/>
      <c r="D179" s="11"/>
      <c r="E179" s="18"/>
      <c r="F179" s="139" t="s">
        <v>123</v>
      </c>
      <c r="G179" s="42">
        <f>G180+G199</f>
        <v>1298876</v>
      </c>
      <c r="H179" s="42">
        <f t="shared" ref="H179:N179" si="98">H180+H199</f>
        <v>767486</v>
      </c>
      <c r="I179" s="42">
        <f t="shared" si="98"/>
        <v>462811</v>
      </c>
      <c r="J179" s="29">
        <f t="shared" si="98"/>
        <v>766526.09722999996</v>
      </c>
      <c r="K179" s="29">
        <f t="shared" si="98"/>
        <v>48654.000999999997</v>
      </c>
      <c r="L179" s="29">
        <f t="shared" si="98"/>
        <v>121372.19164</v>
      </c>
      <c r="M179" s="29">
        <f t="shared" si="98"/>
        <v>457168.95016999997</v>
      </c>
      <c r="N179" s="29">
        <f t="shared" si="98"/>
        <v>5642.0498300000017</v>
      </c>
      <c r="O179" s="68">
        <f t="shared" si="84"/>
        <v>98.780917084943951</v>
      </c>
      <c r="P179" s="71">
        <f t="shared" si="75"/>
        <v>309357.14705999999</v>
      </c>
      <c r="Q179" s="35">
        <f t="shared" si="76"/>
        <v>959.90277000004426</v>
      </c>
      <c r="R179" s="72">
        <v>1103739</v>
      </c>
      <c r="S179" s="72">
        <f t="shared" si="77"/>
        <v>841707.04983000003</v>
      </c>
      <c r="T179" s="62">
        <f t="shared" si="80"/>
        <v>532349.90277000004</v>
      </c>
    </row>
    <row r="180" spans="1:20" ht="76.5">
      <c r="A180" s="8"/>
      <c r="B180" s="12"/>
      <c r="C180" s="12" t="s">
        <v>23</v>
      </c>
      <c r="D180" s="11"/>
      <c r="E180" s="18"/>
      <c r="F180" s="139" t="s">
        <v>124</v>
      </c>
      <c r="G180" s="42">
        <f>G181</f>
        <v>947947</v>
      </c>
      <c r="H180" s="42">
        <f t="shared" ref="H180:N180" si="99">H181</f>
        <v>416557</v>
      </c>
      <c r="I180" s="42">
        <f t="shared" si="99"/>
        <v>252428</v>
      </c>
      <c r="J180" s="60">
        <f t="shared" si="99"/>
        <v>415597.09722999996</v>
      </c>
      <c r="K180" s="29">
        <f>'1.02.'!M169</f>
        <v>48654.000999999997</v>
      </c>
      <c r="L180" s="29">
        <f t="shared" si="99"/>
        <v>69816.59564</v>
      </c>
      <c r="M180" s="33">
        <f t="shared" si="99"/>
        <v>252411.15916999997</v>
      </c>
      <c r="N180" s="29">
        <f t="shared" si="99"/>
        <v>16.840829999999336</v>
      </c>
      <c r="O180" s="66">
        <f t="shared" si="84"/>
        <v>99.993328461977256</v>
      </c>
      <c r="P180" s="71">
        <f t="shared" si="75"/>
        <v>163185.93805999999</v>
      </c>
      <c r="Q180" s="35">
        <f t="shared" si="76"/>
        <v>959.90277000004426</v>
      </c>
      <c r="R180" s="72">
        <v>1103740</v>
      </c>
      <c r="S180" s="72">
        <f t="shared" si="77"/>
        <v>695535.84083</v>
      </c>
      <c r="T180" s="62">
        <f t="shared" si="80"/>
        <v>532349.90277000004</v>
      </c>
    </row>
    <row r="181" spans="1:20">
      <c r="A181" s="9"/>
      <c r="B181" s="12"/>
      <c r="C181" s="12"/>
      <c r="D181" s="11" t="s">
        <v>7</v>
      </c>
      <c r="E181" s="97"/>
      <c r="F181" s="140" t="s">
        <v>85</v>
      </c>
      <c r="G181" s="98">
        <f t="shared" ref="G181:I181" si="100">SUM(G182:G198)</f>
        <v>947947</v>
      </c>
      <c r="H181" s="98">
        <f t="shared" si="100"/>
        <v>416557</v>
      </c>
      <c r="I181" s="98">
        <f t="shared" si="100"/>
        <v>252428</v>
      </c>
      <c r="J181" s="32">
        <f>SUM(J182:J198)</f>
        <v>415597.09722999996</v>
      </c>
      <c r="K181" s="32">
        <f>SUM(K182:K198)</f>
        <v>182594.56353000001</v>
      </c>
      <c r="L181" s="32">
        <f t="shared" ref="L181:N181" si="101">SUM(L182:L198)</f>
        <v>69816.59564</v>
      </c>
      <c r="M181" s="32">
        <f t="shared" si="101"/>
        <v>252411.15916999997</v>
      </c>
      <c r="N181" s="32">
        <f t="shared" si="101"/>
        <v>16.840829999999336</v>
      </c>
      <c r="O181" s="68">
        <f t="shared" si="84"/>
        <v>99.993328461977256</v>
      </c>
      <c r="P181" s="71">
        <f t="shared" si="75"/>
        <v>163185.93805999999</v>
      </c>
      <c r="Q181" s="35">
        <f t="shared" si="76"/>
        <v>959.90277000004426</v>
      </c>
      <c r="R181" s="72">
        <v>1103741</v>
      </c>
      <c r="S181" s="72">
        <f t="shared" si="77"/>
        <v>695535.84083</v>
      </c>
      <c r="T181" s="62">
        <f t="shared" si="80"/>
        <v>532349.90277000004</v>
      </c>
    </row>
    <row r="182" spans="1:20">
      <c r="A182" s="9"/>
      <c r="B182" s="13"/>
      <c r="C182" s="13"/>
      <c r="D182" s="14"/>
      <c r="E182" s="20">
        <v>111</v>
      </c>
      <c r="F182" s="136" t="s">
        <v>86</v>
      </c>
      <c r="G182" s="37">
        <v>618499</v>
      </c>
      <c r="H182" s="37">
        <v>191000</v>
      </c>
      <c r="I182" s="37">
        <v>191000</v>
      </c>
      <c r="J182" s="75">
        <f>M182</f>
        <v>191000</v>
      </c>
      <c r="K182" s="35">
        <f>'1.04.'!M181</f>
        <v>142960.829</v>
      </c>
      <c r="L182" s="35">
        <v>48039.171000000002</v>
      </c>
      <c r="M182" s="92">
        <f>K182+L182</f>
        <v>191000</v>
      </c>
      <c r="N182" s="93">
        <f>I182-M182</f>
        <v>0</v>
      </c>
      <c r="O182" s="70">
        <f t="shared" si="84"/>
        <v>100</v>
      </c>
      <c r="P182" s="71">
        <f t="shared" si="75"/>
        <v>0</v>
      </c>
      <c r="Q182" s="35">
        <f t="shared" si="76"/>
        <v>0</v>
      </c>
      <c r="R182" s="72">
        <v>1103742</v>
      </c>
      <c r="S182" s="72">
        <f t="shared" si="77"/>
        <v>427499</v>
      </c>
      <c r="T182" s="62">
        <f t="shared" si="80"/>
        <v>427499</v>
      </c>
    </row>
    <row r="183" spans="1:20">
      <c r="A183" s="9"/>
      <c r="B183" s="13"/>
      <c r="C183" s="13"/>
      <c r="D183" s="14"/>
      <c r="E183" s="69">
        <v>112</v>
      </c>
      <c r="F183" s="136" t="s">
        <v>87</v>
      </c>
      <c r="G183" s="37"/>
      <c r="H183" s="37"/>
      <c r="I183" s="37"/>
      <c r="J183" s="75">
        <f t="shared" ref="J183:J198" si="102">M183</f>
        <v>0</v>
      </c>
      <c r="K183" s="35">
        <f>'1.04.'!M182</f>
        <v>0</v>
      </c>
      <c r="L183" s="35"/>
      <c r="M183" s="92">
        <f>K183+L183</f>
        <v>0</v>
      </c>
      <c r="N183" s="93">
        <f t="shared" ref="N183:N184" si="103">I183-M183</f>
        <v>0</v>
      </c>
      <c r="O183" s="70" t="e">
        <f t="shared" si="84"/>
        <v>#DIV/0!</v>
      </c>
      <c r="P183" s="71">
        <f t="shared" si="75"/>
        <v>0</v>
      </c>
      <c r="Q183" s="35">
        <f t="shared" si="76"/>
        <v>0</v>
      </c>
      <c r="R183" s="72">
        <v>1103743</v>
      </c>
      <c r="S183" s="72">
        <f t="shared" si="77"/>
        <v>0</v>
      </c>
    </row>
    <row r="184" spans="1:20">
      <c r="A184" s="9"/>
      <c r="B184" s="15"/>
      <c r="C184" s="15"/>
      <c r="D184" s="16"/>
      <c r="E184" s="20">
        <v>113</v>
      </c>
      <c r="F184" s="136" t="s">
        <v>88</v>
      </c>
      <c r="G184" s="37">
        <v>19771</v>
      </c>
      <c r="H184" s="37">
        <v>3296</v>
      </c>
      <c r="I184" s="37">
        <v>3296</v>
      </c>
      <c r="J184" s="75">
        <f t="shared" si="102"/>
        <v>3295.4850000000001</v>
      </c>
      <c r="K184" s="35">
        <f>'1.04.'!M183</f>
        <v>2630</v>
      </c>
      <c r="L184" s="35">
        <v>665.48500000000001</v>
      </c>
      <c r="M184" s="92">
        <f t="shared" si="67"/>
        <v>3295.4850000000001</v>
      </c>
      <c r="N184" s="93">
        <f t="shared" si="103"/>
        <v>0.51499999999987267</v>
      </c>
      <c r="O184" s="70">
        <f t="shared" si="84"/>
        <v>99.984375</v>
      </c>
      <c r="P184" s="71">
        <f t="shared" si="75"/>
        <v>0</v>
      </c>
      <c r="Q184" s="35">
        <f t="shared" si="76"/>
        <v>0.51499999999987267</v>
      </c>
      <c r="R184" s="72">
        <v>1103744</v>
      </c>
      <c r="S184" s="72">
        <f t="shared" si="77"/>
        <v>16475.514999999999</v>
      </c>
      <c r="T184" s="62">
        <f t="shared" si="80"/>
        <v>16475.514999999999</v>
      </c>
    </row>
    <row r="185" spans="1:20">
      <c r="A185" s="9"/>
      <c r="B185" s="15"/>
      <c r="C185" s="15"/>
      <c r="D185" s="16"/>
      <c r="E185" s="69">
        <v>116</v>
      </c>
      <c r="F185" s="136" t="s">
        <v>89</v>
      </c>
      <c r="G185" s="37">
        <v>10353</v>
      </c>
      <c r="H185" s="37">
        <v>3720</v>
      </c>
      <c r="I185" s="37">
        <v>3720</v>
      </c>
      <c r="J185" s="75">
        <f t="shared" si="102"/>
        <v>3719.8980000000001</v>
      </c>
      <c r="K185" s="35">
        <f>'1.04.'!M184</f>
        <v>2759.299</v>
      </c>
      <c r="L185" s="35">
        <v>960.59900000000005</v>
      </c>
      <c r="M185" s="92">
        <f>K185+L185</f>
        <v>3719.8980000000001</v>
      </c>
      <c r="N185" s="93">
        <f>I185-M185</f>
        <v>0.10199999999986176</v>
      </c>
      <c r="O185" s="70">
        <f>M185/I185*100</f>
        <v>99.997258064516132</v>
      </c>
      <c r="P185" s="71">
        <f t="shared" si="75"/>
        <v>0</v>
      </c>
      <c r="Q185" s="35">
        <f t="shared" si="76"/>
        <v>0.10199999999986176</v>
      </c>
      <c r="R185" s="72">
        <v>1103745</v>
      </c>
      <c r="S185" s="72">
        <f t="shared" si="77"/>
        <v>6633.1019999999999</v>
      </c>
    </row>
    <row r="186" spans="1:20">
      <c r="A186" s="9"/>
      <c r="B186" s="15"/>
      <c r="C186" s="15"/>
      <c r="D186" s="16"/>
      <c r="E186" s="20">
        <v>121</v>
      </c>
      <c r="F186" s="136" t="s">
        <v>90</v>
      </c>
      <c r="G186" s="37">
        <f>32039+200</f>
        <v>32239</v>
      </c>
      <c r="H186" s="37">
        <v>10600</v>
      </c>
      <c r="I186" s="37">
        <v>10600</v>
      </c>
      <c r="J186" s="75">
        <f t="shared" si="102"/>
        <v>10600</v>
      </c>
      <c r="K186" s="35">
        <f>'1.04.'!M185</f>
        <v>8000</v>
      </c>
      <c r="L186" s="35">
        <v>2600</v>
      </c>
      <c r="M186" s="92">
        <f>K186+L186</f>
        <v>10600</v>
      </c>
      <c r="N186" s="93">
        <f>I186-M186</f>
        <v>0</v>
      </c>
      <c r="O186" s="70">
        <f>M186/I186*100</f>
        <v>100</v>
      </c>
      <c r="P186" s="71">
        <f t="shared" si="75"/>
        <v>0</v>
      </c>
      <c r="Q186" s="35">
        <f t="shared" si="76"/>
        <v>0</v>
      </c>
      <c r="R186" s="72">
        <v>1103746</v>
      </c>
      <c r="S186" s="72">
        <f t="shared" si="77"/>
        <v>21639</v>
      </c>
      <c r="T186" s="62">
        <f t="shared" si="80"/>
        <v>21639</v>
      </c>
    </row>
    <row r="187" spans="1:20" ht="25.5">
      <c r="A187" s="9"/>
      <c r="B187" s="15"/>
      <c r="C187" s="15"/>
      <c r="D187" s="16"/>
      <c r="E187" s="20">
        <v>122</v>
      </c>
      <c r="F187" s="136" t="s">
        <v>91</v>
      </c>
      <c r="G187" s="37">
        <f>27832-200</f>
        <v>27632</v>
      </c>
      <c r="H187" s="37">
        <v>8020</v>
      </c>
      <c r="I187" s="37">
        <v>8020</v>
      </c>
      <c r="J187" s="75">
        <f t="shared" si="102"/>
        <v>8020</v>
      </c>
      <c r="K187" s="35">
        <f>'1.04.'!M186</f>
        <v>5919.5969999999998</v>
      </c>
      <c r="L187" s="35">
        <v>2100.4029999999998</v>
      </c>
      <c r="M187" s="92">
        <f t="shared" si="67"/>
        <v>8020</v>
      </c>
      <c r="N187" s="93">
        <f t="shared" si="68"/>
        <v>0</v>
      </c>
      <c r="O187" s="70">
        <f t="shared" si="84"/>
        <v>100</v>
      </c>
      <c r="P187" s="71">
        <f t="shared" si="75"/>
        <v>0</v>
      </c>
      <c r="Q187" s="35">
        <f t="shared" si="76"/>
        <v>0</v>
      </c>
      <c r="R187" s="72">
        <v>1103747</v>
      </c>
      <c r="S187" s="72">
        <f t="shared" si="77"/>
        <v>19612</v>
      </c>
      <c r="T187" s="62">
        <f t="shared" si="80"/>
        <v>19612</v>
      </c>
    </row>
    <row r="188" spans="1:20">
      <c r="A188" s="9"/>
      <c r="B188" s="15"/>
      <c r="C188" s="15"/>
      <c r="D188" s="16"/>
      <c r="E188" s="20">
        <v>123</v>
      </c>
      <c r="F188" s="136" t="s">
        <v>92</v>
      </c>
      <c r="G188" s="37">
        <f>168+34</f>
        <v>202</v>
      </c>
      <c r="H188" s="37">
        <v>202</v>
      </c>
      <c r="I188" s="37">
        <v>34</v>
      </c>
      <c r="J188" s="75">
        <v>34</v>
      </c>
      <c r="K188" s="35">
        <f>'1.04.'!M187</f>
        <v>0</v>
      </c>
      <c r="L188" s="35">
        <v>34</v>
      </c>
      <c r="M188" s="92">
        <f t="shared" si="67"/>
        <v>34</v>
      </c>
      <c r="N188" s="93">
        <f t="shared" si="68"/>
        <v>0</v>
      </c>
      <c r="O188" s="70">
        <f t="shared" si="84"/>
        <v>100</v>
      </c>
      <c r="P188" s="71">
        <f t="shared" si="75"/>
        <v>0</v>
      </c>
      <c r="Q188" s="35">
        <f t="shared" si="76"/>
        <v>168</v>
      </c>
      <c r="R188" s="72">
        <v>1103748</v>
      </c>
      <c r="S188" s="72">
        <f t="shared" si="77"/>
        <v>168</v>
      </c>
      <c r="T188" s="62">
        <f t="shared" si="80"/>
        <v>168</v>
      </c>
    </row>
    <row r="189" spans="1:20">
      <c r="A189" s="9"/>
      <c r="B189" s="15"/>
      <c r="C189" s="15"/>
      <c r="D189" s="16"/>
      <c r="E189" s="20">
        <v>124</v>
      </c>
      <c r="F189" s="136" t="s">
        <v>93</v>
      </c>
      <c r="G189" s="37">
        <f>15607-58</f>
        <v>15549</v>
      </c>
      <c r="H189" s="37">
        <v>4350</v>
      </c>
      <c r="I189" s="37">
        <v>4350</v>
      </c>
      <c r="J189" s="75">
        <f t="shared" si="102"/>
        <v>4349.8860000000004</v>
      </c>
      <c r="K189" s="35">
        <f>'1.04.'!M188</f>
        <v>3149.9720000000002</v>
      </c>
      <c r="L189" s="35">
        <v>1199.914</v>
      </c>
      <c r="M189" s="93">
        <f t="shared" si="67"/>
        <v>4349.8860000000004</v>
      </c>
      <c r="N189" s="93">
        <f t="shared" si="68"/>
        <v>0.11399999999957799</v>
      </c>
      <c r="O189" s="70">
        <f t="shared" si="84"/>
        <v>99.99737931034484</v>
      </c>
      <c r="P189" s="71">
        <f t="shared" si="75"/>
        <v>0</v>
      </c>
      <c r="Q189" s="35">
        <f t="shared" si="76"/>
        <v>0.11399999999957799</v>
      </c>
      <c r="R189" s="72">
        <v>1103749</v>
      </c>
      <c r="S189" s="72">
        <f t="shared" si="77"/>
        <v>11199.114</v>
      </c>
      <c r="T189" s="62">
        <f t="shared" si="80"/>
        <v>11199.114</v>
      </c>
    </row>
    <row r="190" spans="1:20" s="73" customFormat="1">
      <c r="A190" s="9"/>
      <c r="B190" s="15"/>
      <c r="C190" s="15"/>
      <c r="D190" s="16"/>
      <c r="E190" s="20">
        <v>141</v>
      </c>
      <c r="F190" s="136" t="s">
        <v>116</v>
      </c>
      <c r="G190" s="37">
        <f>170896-249</f>
        <v>170647</v>
      </c>
      <c r="H190" s="37">
        <v>165552</v>
      </c>
      <c r="I190" s="37">
        <v>9751</v>
      </c>
      <c r="J190" s="75">
        <v>165551.82058999999</v>
      </c>
      <c r="K190" s="35">
        <f>'1.04.'!M189</f>
        <v>0</v>
      </c>
      <c r="L190" s="35">
        <v>9751</v>
      </c>
      <c r="M190" s="92">
        <f t="shared" si="67"/>
        <v>9751</v>
      </c>
      <c r="N190" s="93">
        <f t="shared" si="68"/>
        <v>0</v>
      </c>
      <c r="O190" s="70">
        <f t="shared" si="84"/>
        <v>100</v>
      </c>
      <c r="P190" s="71">
        <f t="shared" si="75"/>
        <v>155800.82058999999</v>
      </c>
      <c r="Q190" s="35">
        <f t="shared" si="76"/>
        <v>0.17941000001155771</v>
      </c>
      <c r="R190" s="72">
        <v>1103750</v>
      </c>
      <c r="S190" s="72">
        <f t="shared" si="77"/>
        <v>160896</v>
      </c>
      <c r="T190" s="62">
        <f t="shared" si="80"/>
        <v>5095.1794100000116</v>
      </c>
    </row>
    <row r="191" spans="1:20">
      <c r="A191" s="9"/>
      <c r="B191" s="15"/>
      <c r="C191" s="15"/>
      <c r="D191" s="16"/>
      <c r="E191" s="20">
        <v>144</v>
      </c>
      <c r="F191" s="136" t="s">
        <v>97</v>
      </c>
      <c r="G191" s="37">
        <v>4041</v>
      </c>
      <c r="H191" s="37">
        <v>2952</v>
      </c>
      <c r="I191" s="37">
        <v>2952</v>
      </c>
      <c r="J191" s="75">
        <f t="shared" si="102"/>
        <v>2951.8902699999999</v>
      </c>
      <c r="K191" s="35">
        <f>'1.04.'!M190</f>
        <v>2951.8902699999999</v>
      </c>
      <c r="L191" s="35"/>
      <c r="M191" s="92">
        <f t="shared" si="67"/>
        <v>2951.8902699999999</v>
      </c>
      <c r="N191" s="93">
        <f t="shared" si="68"/>
        <v>0.10973000000012689</v>
      </c>
      <c r="O191" s="70">
        <f t="shared" si="84"/>
        <v>99.99628285907859</v>
      </c>
      <c r="P191" s="71">
        <f t="shared" si="75"/>
        <v>0</v>
      </c>
      <c r="Q191" s="35">
        <f t="shared" si="76"/>
        <v>0.10973000000012689</v>
      </c>
      <c r="R191" s="72">
        <v>1103751</v>
      </c>
      <c r="S191" s="72">
        <f t="shared" si="77"/>
        <v>1089.1097300000001</v>
      </c>
      <c r="T191" s="62">
        <f t="shared" si="80"/>
        <v>1089.1097300000001</v>
      </c>
    </row>
    <row r="192" spans="1:20">
      <c r="A192" s="100"/>
      <c r="B192" s="15"/>
      <c r="C192" s="15"/>
      <c r="D192" s="16"/>
      <c r="E192" s="20">
        <v>149</v>
      </c>
      <c r="F192" s="136" t="s">
        <v>98</v>
      </c>
      <c r="G192" s="37">
        <f>3715-434</f>
        <v>3281</v>
      </c>
      <c r="H192" s="37">
        <v>2082</v>
      </c>
      <c r="I192" s="37">
        <v>1266</v>
      </c>
      <c r="J192" s="75">
        <v>1692.82</v>
      </c>
      <c r="K192" s="35">
        <f>'1.04.'!M191</f>
        <v>1265.46</v>
      </c>
      <c r="L192" s="35"/>
      <c r="M192" s="92">
        <f t="shared" si="67"/>
        <v>1265.46</v>
      </c>
      <c r="N192" s="93">
        <f t="shared" si="68"/>
        <v>0.53999999999996362</v>
      </c>
      <c r="O192" s="70">
        <f t="shared" si="84"/>
        <v>99.957345971563981</v>
      </c>
      <c r="P192" s="71">
        <f t="shared" si="75"/>
        <v>427.3599999999999</v>
      </c>
      <c r="Q192" s="35">
        <f t="shared" si="76"/>
        <v>389.18000000000006</v>
      </c>
      <c r="R192" s="72">
        <v>1103752</v>
      </c>
      <c r="S192" s="72">
        <f t="shared" si="77"/>
        <v>2015.54</v>
      </c>
      <c r="T192" s="62">
        <f t="shared" si="80"/>
        <v>1588.18</v>
      </c>
    </row>
    <row r="193" spans="1:20">
      <c r="A193" s="100"/>
      <c r="B193" s="15"/>
      <c r="C193" s="15"/>
      <c r="D193" s="16"/>
      <c r="E193" s="20">
        <v>151</v>
      </c>
      <c r="F193" s="136" t="s">
        <v>99</v>
      </c>
      <c r="G193" s="37">
        <v>35085</v>
      </c>
      <c r="H193" s="37">
        <v>15400</v>
      </c>
      <c r="I193" s="37">
        <v>15400</v>
      </c>
      <c r="J193" s="75">
        <f>M193</f>
        <v>15400</v>
      </c>
      <c r="K193" s="35">
        <f>'1.04.'!M192</f>
        <v>11500</v>
      </c>
      <c r="L193" s="35">
        <v>3900</v>
      </c>
      <c r="M193" s="92">
        <f t="shared" ref="M193:M198" si="104">K193+L193</f>
        <v>15400</v>
      </c>
      <c r="N193" s="93">
        <f t="shared" ref="N193:N223" si="105">I193-M193</f>
        <v>0</v>
      </c>
      <c r="O193" s="70">
        <f t="shared" si="84"/>
        <v>100</v>
      </c>
      <c r="P193" s="71">
        <f t="shared" si="75"/>
        <v>0</v>
      </c>
      <c r="Q193" s="35">
        <f t="shared" si="76"/>
        <v>0</v>
      </c>
      <c r="R193" s="72">
        <v>1103753</v>
      </c>
      <c r="S193" s="72">
        <f t="shared" si="77"/>
        <v>19685</v>
      </c>
      <c r="T193" s="62">
        <f t="shared" si="80"/>
        <v>19685</v>
      </c>
    </row>
    <row r="194" spans="1:20">
      <c r="A194" s="100"/>
      <c r="B194" s="15"/>
      <c r="C194" s="15"/>
      <c r="D194" s="16"/>
      <c r="E194" s="20">
        <v>152</v>
      </c>
      <c r="F194" s="136" t="s">
        <v>100</v>
      </c>
      <c r="G194" s="37">
        <v>1374</v>
      </c>
      <c r="H194" s="37">
        <v>1374</v>
      </c>
      <c r="I194" s="37">
        <v>149</v>
      </c>
      <c r="J194" s="75">
        <v>1373.87772</v>
      </c>
      <c r="K194" s="35">
        <f>'1.04.'!M193</f>
        <v>140</v>
      </c>
      <c r="L194" s="35">
        <v>9</v>
      </c>
      <c r="M194" s="92">
        <f t="shared" si="104"/>
        <v>149</v>
      </c>
      <c r="N194" s="101">
        <f t="shared" si="105"/>
        <v>0</v>
      </c>
      <c r="O194" s="70">
        <f t="shared" si="84"/>
        <v>100</v>
      </c>
      <c r="P194" s="71">
        <f t="shared" si="75"/>
        <v>1224.87772</v>
      </c>
      <c r="Q194" s="35">
        <f t="shared" si="76"/>
        <v>0.12228000000004613</v>
      </c>
      <c r="R194" s="72">
        <v>1103754</v>
      </c>
      <c r="S194" s="72">
        <f t="shared" si="77"/>
        <v>1225</v>
      </c>
      <c r="T194" s="62">
        <f t="shared" si="80"/>
        <v>0.12228000000004613</v>
      </c>
    </row>
    <row r="195" spans="1:20" ht="25.5">
      <c r="A195" s="100"/>
      <c r="B195" s="15"/>
      <c r="C195" s="15"/>
      <c r="D195" s="16"/>
      <c r="E195" s="20">
        <v>158</v>
      </c>
      <c r="F195" s="136" t="s">
        <v>101</v>
      </c>
      <c r="G195" s="37">
        <f>730+2332</f>
        <v>3062</v>
      </c>
      <c r="H195" s="37">
        <v>3062</v>
      </c>
      <c r="I195" s="37">
        <v>768</v>
      </c>
      <c r="J195" s="75">
        <v>3061.6</v>
      </c>
      <c r="K195" s="35">
        <f>'1.04.'!M194</f>
        <v>510.6</v>
      </c>
      <c r="L195" s="35">
        <v>255.3</v>
      </c>
      <c r="M195" s="92">
        <f t="shared" si="104"/>
        <v>765.90000000000009</v>
      </c>
      <c r="N195" s="101">
        <f t="shared" si="105"/>
        <v>2.0999999999999091</v>
      </c>
      <c r="O195" s="70">
        <f t="shared" si="84"/>
        <v>99.726562500000014</v>
      </c>
      <c r="P195" s="71">
        <f t="shared" si="75"/>
        <v>2295.6999999999998</v>
      </c>
      <c r="Q195" s="35">
        <f t="shared" si="76"/>
        <v>0.40000000000009095</v>
      </c>
      <c r="R195" s="72">
        <v>1103755</v>
      </c>
      <c r="S195" s="72">
        <f t="shared" si="77"/>
        <v>2296.1</v>
      </c>
      <c r="T195" s="62">
        <f t="shared" si="80"/>
        <v>0.40000000000009095</v>
      </c>
    </row>
    <row r="196" spans="1:20">
      <c r="A196" s="100"/>
      <c r="B196" s="15"/>
      <c r="C196" s="15"/>
      <c r="D196" s="16"/>
      <c r="E196" s="20">
        <v>159</v>
      </c>
      <c r="F196" s="136" t="s">
        <v>84</v>
      </c>
      <c r="G196" s="37">
        <f>7434-2332</f>
        <v>5102</v>
      </c>
      <c r="H196" s="37">
        <v>3853</v>
      </c>
      <c r="I196" s="37">
        <v>428</v>
      </c>
      <c r="J196" s="75">
        <v>3852.9033899999999</v>
      </c>
      <c r="K196" s="35">
        <f>'1.04.'!M195</f>
        <v>114</v>
      </c>
      <c r="L196" s="35">
        <v>301.72363999999999</v>
      </c>
      <c r="M196" s="93">
        <f t="shared" si="104"/>
        <v>415.72363999999999</v>
      </c>
      <c r="N196" s="93">
        <f t="shared" si="105"/>
        <v>12.276360000000011</v>
      </c>
      <c r="O196" s="70">
        <f t="shared" si="84"/>
        <v>97.131691588785046</v>
      </c>
      <c r="P196" s="71">
        <f t="shared" si="75"/>
        <v>3437.1797499999998</v>
      </c>
      <c r="Q196" s="35">
        <f t="shared" si="76"/>
        <v>9.6610000000055152E-2</v>
      </c>
      <c r="R196" s="72">
        <v>1103756</v>
      </c>
      <c r="S196" s="72">
        <f t="shared" si="77"/>
        <v>4686.2763599999998</v>
      </c>
      <c r="T196" s="62">
        <f t="shared" si="80"/>
        <v>1249.0966100000001</v>
      </c>
    </row>
    <row r="197" spans="1:20">
      <c r="A197" s="100"/>
      <c r="B197" s="15"/>
      <c r="C197" s="15"/>
      <c r="D197" s="16"/>
      <c r="E197" s="69">
        <v>161</v>
      </c>
      <c r="F197" s="136" t="s">
        <v>102</v>
      </c>
      <c r="G197" s="37">
        <v>58</v>
      </c>
      <c r="H197" s="37">
        <v>58</v>
      </c>
      <c r="I197" s="37">
        <v>58</v>
      </c>
      <c r="J197" s="75">
        <f t="shared" si="102"/>
        <v>57.9</v>
      </c>
      <c r="K197" s="35">
        <f>'1.04.'!M196</f>
        <v>57.9</v>
      </c>
      <c r="L197" s="35"/>
      <c r="M197" s="92">
        <f t="shared" si="104"/>
        <v>57.9</v>
      </c>
      <c r="N197" s="93">
        <f t="shared" si="105"/>
        <v>0.10000000000000142</v>
      </c>
      <c r="O197" s="70">
        <f t="shared" si="84"/>
        <v>99.827586206896541</v>
      </c>
      <c r="P197" s="71">
        <f t="shared" si="75"/>
        <v>0</v>
      </c>
      <c r="Q197" s="35">
        <f t="shared" si="76"/>
        <v>0.10000000000000142</v>
      </c>
      <c r="R197" s="72">
        <v>1103757</v>
      </c>
      <c r="S197" s="72">
        <f t="shared" si="77"/>
        <v>0.10000000000000142</v>
      </c>
      <c r="T197" s="62">
        <f t="shared" si="80"/>
        <v>0.10000000000000142</v>
      </c>
    </row>
    <row r="198" spans="1:20">
      <c r="A198" s="100"/>
      <c r="B198" s="15"/>
      <c r="C198" s="15"/>
      <c r="D198" s="16"/>
      <c r="E198" s="20">
        <v>169</v>
      </c>
      <c r="F198" s="136" t="s">
        <v>103</v>
      </c>
      <c r="G198" s="37">
        <f>652+400</f>
        <v>1052</v>
      </c>
      <c r="H198" s="37">
        <v>1036</v>
      </c>
      <c r="I198" s="37">
        <v>636</v>
      </c>
      <c r="J198" s="75">
        <f t="shared" si="102"/>
        <v>635.01625999999999</v>
      </c>
      <c r="K198" s="35">
        <f>'1.04.'!M197</f>
        <v>635.01625999999999</v>
      </c>
      <c r="L198" s="35"/>
      <c r="M198" s="93">
        <f t="shared" si="104"/>
        <v>635.01625999999999</v>
      </c>
      <c r="N198" s="93">
        <f t="shared" si="105"/>
        <v>0.98374000000001161</v>
      </c>
      <c r="O198" s="70">
        <f t="shared" si="84"/>
        <v>99.845323899371067</v>
      </c>
      <c r="P198" s="71">
        <f t="shared" si="75"/>
        <v>0</v>
      </c>
      <c r="Q198" s="35">
        <f t="shared" si="76"/>
        <v>400.98374000000001</v>
      </c>
      <c r="R198" s="72">
        <v>1103758</v>
      </c>
      <c r="S198" s="72">
        <f t="shared" si="77"/>
        <v>416.98374000000001</v>
      </c>
      <c r="T198" s="62">
        <f t="shared" si="80"/>
        <v>416.98374000000001</v>
      </c>
    </row>
    <row r="199" spans="1:20" ht="25.5">
      <c r="A199" s="100"/>
      <c r="B199" s="15"/>
      <c r="C199" s="57" t="s">
        <v>43</v>
      </c>
      <c r="D199" s="16"/>
      <c r="E199" s="20"/>
      <c r="F199" s="139" t="s">
        <v>119</v>
      </c>
      <c r="G199" s="59">
        <f t="shared" ref="G199:N199" si="106">G200</f>
        <v>350929</v>
      </c>
      <c r="H199" s="59">
        <f t="shared" si="106"/>
        <v>350929</v>
      </c>
      <c r="I199" s="59">
        <f t="shared" si="106"/>
        <v>210383</v>
      </c>
      <c r="J199" s="29">
        <f t="shared" si="106"/>
        <v>350929</v>
      </c>
      <c r="K199" s="35">
        <f>'1.02.'!M188</f>
        <v>0</v>
      </c>
      <c r="L199" s="59">
        <f t="shared" si="106"/>
        <v>51555.595999999998</v>
      </c>
      <c r="M199" s="59">
        <f t="shared" si="106"/>
        <v>204757.791</v>
      </c>
      <c r="N199" s="29">
        <f t="shared" si="106"/>
        <v>5625.2090000000026</v>
      </c>
      <c r="O199" s="70"/>
      <c r="P199" s="71">
        <f t="shared" si="75"/>
        <v>146171.209</v>
      </c>
      <c r="Q199" s="35">
        <f t="shared" si="76"/>
        <v>0</v>
      </c>
      <c r="R199" s="72">
        <v>1103759</v>
      </c>
      <c r="S199" s="72">
        <f t="shared" si="77"/>
        <v>146171.209</v>
      </c>
    </row>
    <row r="200" spans="1:20">
      <c r="A200" s="9"/>
      <c r="B200" s="12"/>
      <c r="C200" s="12"/>
      <c r="D200" s="11" t="s">
        <v>7</v>
      </c>
      <c r="E200" s="97"/>
      <c r="F200" s="122" t="s">
        <v>85</v>
      </c>
      <c r="G200" s="98">
        <f>G201+G202</f>
        <v>350929</v>
      </c>
      <c r="H200" s="98">
        <f t="shared" ref="H200:N200" si="107">H201+H202</f>
        <v>350929</v>
      </c>
      <c r="I200" s="98">
        <f t="shared" si="107"/>
        <v>210383</v>
      </c>
      <c r="J200" s="99">
        <f t="shared" si="107"/>
        <v>350929</v>
      </c>
      <c r="K200" s="35">
        <f>'1.02.'!M189</f>
        <v>0</v>
      </c>
      <c r="L200" s="98">
        <f t="shared" si="107"/>
        <v>51555.595999999998</v>
      </c>
      <c r="M200" s="32">
        <f t="shared" si="107"/>
        <v>204757.791</v>
      </c>
      <c r="N200" s="98">
        <f t="shared" si="107"/>
        <v>5625.2090000000026</v>
      </c>
      <c r="O200" s="68">
        <f>M200/I200*100</f>
        <v>97.326205539420968</v>
      </c>
      <c r="P200" s="71">
        <f t="shared" si="75"/>
        <v>146171.209</v>
      </c>
      <c r="Q200" s="35">
        <f t="shared" si="76"/>
        <v>0</v>
      </c>
      <c r="R200" s="72">
        <v>1103760</v>
      </c>
      <c r="S200" s="72">
        <f t="shared" si="77"/>
        <v>146171.209</v>
      </c>
      <c r="T200" s="62">
        <f>G200-J200</f>
        <v>0</v>
      </c>
    </row>
    <row r="201" spans="1:20" ht="25.5">
      <c r="A201" s="100"/>
      <c r="B201" s="15"/>
      <c r="C201" s="15"/>
      <c r="D201" s="16"/>
      <c r="E201" s="20">
        <v>414</v>
      </c>
      <c r="F201" s="50" t="s">
        <v>105</v>
      </c>
      <c r="G201" s="37"/>
      <c r="H201" s="37"/>
      <c r="I201" s="37"/>
      <c r="J201" s="75">
        <f>M201</f>
        <v>0</v>
      </c>
      <c r="K201" s="35">
        <f>'1.02.'!M190</f>
        <v>0</v>
      </c>
      <c r="L201" s="35"/>
      <c r="M201" s="92">
        <f t="shared" ref="M201:M202" si="108">K201+L201</f>
        <v>0</v>
      </c>
      <c r="N201" s="93">
        <f t="shared" ref="N201:N202" si="109">I201-M201</f>
        <v>0</v>
      </c>
      <c r="O201" s="70" t="e">
        <f t="shared" ref="O201:O202" si="110">M201/I201*100</f>
        <v>#DIV/0!</v>
      </c>
      <c r="P201" s="71">
        <f t="shared" si="75"/>
        <v>0</v>
      </c>
      <c r="Q201" s="35">
        <f t="shared" si="76"/>
        <v>0</v>
      </c>
      <c r="R201" s="72">
        <v>1103761</v>
      </c>
      <c r="S201" s="72">
        <f t="shared" si="77"/>
        <v>0</v>
      </c>
    </row>
    <row r="202" spans="1:20" ht="25.5">
      <c r="A202" s="100"/>
      <c r="B202" s="15"/>
      <c r="C202" s="15"/>
      <c r="D202" s="16"/>
      <c r="E202" s="20">
        <v>421</v>
      </c>
      <c r="F202" s="136" t="s">
        <v>156</v>
      </c>
      <c r="G202" s="37">
        <v>350929</v>
      </c>
      <c r="H202" s="37">
        <v>350929</v>
      </c>
      <c r="I202" s="37">
        <v>210383</v>
      </c>
      <c r="J202" s="75">
        <v>350929</v>
      </c>
      <c r="K202" s="35">
        <f>'1.03.'!M191</f>
        <v>153202.19500000001</v>
      </c>
      <c r="L202" s="35">
        <v>51555.595999999998</v>
      </c>
      <c r="M202" s="92">
        <f t="shared" si="108"/>
        <v>204757.791</v>
      </c>
      <c r="N202" s="93">
        <f t="shared" si="109"/>
        <v>5625.2090000000026</v>
      </c>
      <c r="O202" s="70">
        <f t="shared" si="110"/>
        <v>97.326205539420968</v>
      </c>
      <c r="P202" s="71">
        <f t="shared" si="75"/>
        <v>146171.209</v>
      </c>
      <c r="Q202" s="35">
        <f t="shared" si="76"/>
        <v>0</v>
      </c>
      <c r="R202" s="72">
        <v>1103762</v>
      </c>
      <c r="S202" s="72">
        <f t="shared" si="77"/>
        <v>146171.209</v>
      </c>
    </row>
    <row r="203" spans="1:20" s="73" customFormat="1">
      <c r="A203" s="100"/>
      <c r="B203" s="8" t="s">
        <v>20</v>
      </c>
      <c r="C203" s="8"/>
      <c r="D203" s="21"/>
      <c r="E203" s="21"/>
      <c r="F203" s="139" t="s">
        <v>125</v>
      </c>
      <c r="G203" s="59">
        <f>G204+G224</f>
        <v>636935</v>
      </c>
      <c r="H203" s="59">
        <f t="shared" ref="H203:N203" si="111">H204+H224</f>
        <v>234165.6</v>
      </c>
      <c r="I203" s="59">
        <f t="shared" si="111"/>
        <v>162720.70000000001</v>
      </c>
      <c r="J203" s="29">
        <f t="shared" si="111"/>
        <v>191103.34566000002</v>
      </c>
      <c r="K203" s="29">
        <f t="shared" si="111"/>
        <v>117455.44546999998</v>
      </c>
      <c r="L203" s="59">
        <f t="shared" si="111"/>
        <v>44299.204710000005</v>
      </c>
      <c r="M203" s="29">
        <f t="shared" si="111"/>
        <v>161754.65018000003</v>
      </c>
      <c r="N203" s="29">
        <f t="shared" si="111"/>
        <v>966.049819999997</v>
      </c>
      <c r="O203" s="68">
        <f t="shared" si="84"/>
        <v>99.406314119838484</v>
      </c>
      <c r="P203" s="71">
        <f t="shared" si="75"/>
        <v>29348.695479999995</v>
      </c>
      <c r="Q203" s="35">
        <f t="shared" si="76"/>
        <v>43062.254339999985</v>
      </c>
      <c r="R203" s="72">
        <v>1103763</v>
      </c>
      <c r="S203" s="72">
        <f t="shared" si="77"/>
        <v>475180.34982</v>
      </c>
      <c r="T203" s="62">
        <f t="shared" si="80"/>
        <v>445831.65434000001</v>
      </c>
    </row>
    <row r="204" spans="1:20" s="95" customFormat="1" ht="76.5">
      <c r="A204" s="100"/>
      <c r="B204" s="8"/>
      <c r="C204" s="17" t="s">
        <v>23</v>
      </c>
      <c r="D204" s="17"/>
      <c r="E204" s="21"/>
      <c r="F204" s="139" t="s">
        <v>124</v>
      </c>
      <c r="G204" s="59">
        <f>G205</f>
        <v>636935</v>
      </c>
      <c r="H204" s="59">
        <f t="shared" ref="H204:N204" si="112">H205</f>
        <v>234165.6</v>
      </c>
      <c r="I204" s="59">
        <f t="shared" si="112"/>
        <v>162720.70000000001</v>
      </c>
      <c r="J204" s="59">
        <f t="shared" si="112"/>
        <v>191103.34566000002</v>
      </c>
      <c r="K204" s="29">
        <f t="shared" si="112"/>
        <v>117455.44546999998</v>
      </c>
      <c r="L204" s="59">
        <f t="shared" si="112"/>
        <v>44299.204710000005</v>
      </c>
      <c r="M204" s="29">
        <f t="shared" si="112"/>
        <v>161754.65018000003</v>
      </c>
      <c r="N204" s="29">
        <f t="shared" si="112"/>
        <v>966.049819999997</v>
      </c>
      <c r="O204" s="68">
        <f t="shared" si="84"/>
        <v>99.406314119838484</v>
      </c>
      <c r="P204" s="71">
        <f t="shared" si="75"/>
        <v>29348.695479999995</v>
      </c>
      <c r="Q204" s="35">
        <f t="shared" si="76"/>
        <v>43062.254339999985</v>
      </c>
      <c r="R204" s="72">
        <v>1103764</v>
      </c>
      <c r="S204" s="72">
        <f t="shared" si="77"/>
        <v>475180.34982</v>
      </c>
      <c r="T204" s="62">
        <f t="shared" si="80"/>
        <v>445831.65434000001</v>
      </c>
    </row>
    <row r="205" spans="1:20">
      <c r="A205" s="100"/>
      <c r="B205" s="8"/>
      <c r="C205" s="17"/>
      <c r="D205" s="17" t="s">
        <v>7</v>
      </c>
      <c r="E205" s="10"/>
      <c r="F205" s="140" t="s">
        <v>85</v>
      </c>
      <c r="G205" s="59">
        <f>SUM(G206:G223)</f>
        <v>636935</v>
      </c>
      <c r="H205" s="59">
        <f>SUM(H206:H223)</f>
        <v>234165.6</v>
      </c>
      <c r="I205" s="59">
        <f>SUM(I206:I223)</f>
        <v>162720.70000000001</v>
      </c>
      <c r="J205" s="29">
        <f>SUM(J206:J223)</f>
        <v>191103.34566000002</v>
      </c>
      <c r="K205" s="29">
        <f>SUM(K206:K223)</f>
        <v>117455.44546999998</v>
      </c>
      <c r="L205" s="29">
        <f t="shared" ref="L205:N205" si="113">SUM(L206:L223)</f>
        <v>44299.204710000005</v>
      </c>
      <c r="M205" s="29">
        <f>SUM(M206:M223)</f>
        <v>161754.65018000003</v>
      </c>
      <c r="N205" s="29">
        <f t="shared" si="113"/>
        <v>966.049819999997</v>
      </c>
      <c r="O205" s="68">
        <f>M205/I205*100</f>
        <v>99.406314119838484</v>
      </c>
      <c r="P205" s="71">
        <f t="shared" si="75"/>
        <v>29348.695479999995</v>
      </c>
      <c r="Q205" s="35">
        <f t="shared" si="76"/>
        <v>43062.254339999985</v>
      </c>
      <c r="R205" s="72">
        <v>1103765</v>
      </c>
      <c r="S205" s="72">
        <f t="shared" si="77"/>
        <v>475180.34982</v>
      </c>
      <c r="T205" s="62">
        <f t="shared" si="80"/>
        <v>445831.65434000001</v>
      </c>
    </row>
    <row r="206" spans="1:20">
      <c r="A206" s="100"/>
      <c r="B206" s="9"/>
      <c r="C206" s="9"/>
      <c r="D206" s="69"/>
      <c r="E206" s="69">
        <v>111</v>
      </c>
      <c r="F206" s="136" t="s">
        <v>86</v>
      </c>
      <c r="G206" s="26">
        <v>367447</v>
      </c>
      <c r="H206" s="26">
        <v>121564</v>
      </c>
      <c r="I206" s="26">
        <v>121564</v>
      </c>
      <c r="J206" s="27">
        <f>M206</f>
        <v>121555.334</v>
      </c>
      <c r="K206" s="35">
        <f>'1.04.'!M205</f>
        <v>90807.138000000006</v>
      </c>
      <c r="L206" s="27">
        <v>30748.196</v>
      </c>
      <c r="M206" s="92">
        <f>K206+L206</f>
        <v>121555.334</v>
      </c>
      <c r="N206" s="93">
        <f t="shared" si="105"/>
        <v>8.6659999999974389</v>
      </c>
      <c r="O206" s="70">
        <f t="shared" si="84"/>
        <v>99.99287124477641</v>
      </c>
      <c r="P206" s="71">
        <f t="shared" si="75"/>
        <v>0</v>
      </c>
      <c r="Q206" s="35">
        <f t="shared" si="76"/>
        <v>8.6659999999974389</v>
      </c>
      <c r="R206" s="72">
        <v>1103766</v>
      </c>
      <c r="S206" s="72">
        <f t="shared" si="77"/>
        <v>245891.666</v>
      </c>
      <c r="T206" s="62">
        <f t="shared" si="80"/>
        <v>245891.666</v>
      </c>
    </row>
    <row r="207" spans="1:20">
      <c r="A207" s="100"/>
      <c r="B207" s="9"/>
      <c r="C207" s="9"/>
      <c r="D207" s="69"/>
      <c r="E207" s="69">
        <v>112</v>
      </c>
      <c r="F207" s="136" t="s">
        <v>87</v>
      </c>
      <c r="G207" s="26"/>
      <c r="H207" s="26"/>
      <c r="I207" s="26"/>
      <c r="J207" s="27">
        <f t="shared" ref="J207:J223" si="114">M207</f>
        <v>0</v>
      </c>
      <c r="K207" s="35">
        <f>'1.04.'!M206</f>
        <v>0</v>
      </c>
      <c r="L207" s="27"/>
      <c r="M207" s="92">
        <f>K207+L207</f>
        <v>0</v>
      </c>
      <c r="N207" s="93">
        <f t="shared" si="105"/>
        <v>0</v>
      </c>
      <c r="O207" s="70" t="e">
        <f t="shared" si="84"/>
        <v>#DIV/0!</v>
      </c>
      <c r="P207" s="71">
        <f t="shared" si="75"/>
        <v>0</v>
      </c>
      <c r="Q207" s="35">
        <f t="shared" si="76"/>
        <v>0</v>
      </c>
      <c r="R207" s="72">
        <v>1103767</v>
      </c>
      <c r="S207" s="72">
        <f t="shared" si="77"/>
        <v>0</v>
      </c>
    </row>
    <row r="208" spans="1:20">
      <c r="A208" s="100"/>
      <c r="B208" s="9"/>
      <c r="C208" s="9"/>
      <c r="D208" s="69"/>
      <c r="E208" s="76">
        <v>113</v>
      </c>
      <c r="F208" s="136" t="s">
        <v>88</v>
      </c>
      <c r="G208" s="26">
        <v>11349</v>
      </c>
      <c r="H208" s="26">
        <v>1904</v>
      </c>
      <c r="I208" s="26">
        <v>1904</v>
      </c>
      <c r="J208" s="27">
        <f t="shared" si="114"/>
        <v>1903.21</v>
      </c>
      <c r="K208" s="35">
        <f>'1.04.'!M207</f>
        <v>1360.684</v>
      </c>
      <c r="L208" s="27">
        <v>542.52599999999995</v>
      </c>
      <c r="M208" s="92">
        <f t="shared" ref="M208:M223" si="115">K208+L208</f>
        <v>1903.21</v>
      </c>
      <c r="N208" s="93">
        <f>I208-M208</f>
        <v>0.78999999999996362</v>
      </c>
      <c r="O208" s="70">
        <f>M208/I208*100</f>
        <v>99.95850840336135</v>
      </c>
      <c r="P208" s="71">
        <f t="shared" si="75"/>
        <v>0</v>
      </c>
      <c r="Q208" s="35">
        <f t="shared" si="76"/>
        <v>0.78999999999996362</v>
      </c>
      <c r="R208" s="72">
        <v>1103768</v>
      </c>
      <c r="S208" s="72">
        <f t="shared" si="77"/>
        <v>9445.7900000000009</v>
      </c>
      <c r="T208" s="62">
        <f t="shared" si="80"/>
        <v>9445.7900000000009</v>
      </c>
    </row>
    <row r="209" spans="1:20">
      <c r="A209" s="100"/>
      <c r="B209" s="9"/>
      <c r="C209" s="9"/>
      <c r="D209" s="69"/>
      <c r="E209" s="69">
        <v>116</v>
      </c>
      <c r="F209" s="136" t="s">
        <v>89</v>
      </c>
      <c r="G209" s="26">
        <v>11283</v>
      </c>
      <c r="H209" s="26">
        <v>3012</v>
      </c>
      <c r="I209" s="26">
        <v>3012</v>
      </c>
      <c r="J209" s="27">
        <f t="shared" si="114"/>
        <v>3012</v>
      </c>
      <c r="K209" s="35">
        <f>'1.04.'!M208</f>
        <v>2348.87</v>
      </c>
      <c r="L209" s="27">
        <v>663.13</v>
      </c>
      <c r="M209" s="92">
        <f t="shared" si="115"/>
        <v>3012</v>
      </c>
      <c r="N209" s="93">
        <f>I209-M209</f>
        <v>0</v>
      </c>
      <c r="O209" s="70">
        <f>M209/I209*100</f>
        <v>100</v>
      </c>
      <c r="P209" s="71">
        <f t="shared" si="75"/>
        <v>0</v>
      </c>
      <c r="Q209" s="35">
        <f t="shared" si="76"/>
        <v>0</v>
      </c>
      <c r="R209" s="72">
        <v>1103769</v>
      </c>
      <c r="S209" s="72">
        <f t="shared" si="77"/>
        <v>8271</v>
      </c>
    </row>
    <row r="210" spans="1:20">
      <c r="A210" s="100"/>
      <c r="B210" s="9"/>
      <c r="C210" s="9"/>
      <c r="D210" s="69"/>
      <c r="E210" s="69">
        <v>121</v>
      </c>
      <c r="F210" s="136" t="s">
        <v>90</v>
      </c>
      <c r="G210" s="26">
        <v>19034</v>
      </c>
      <c r="H210" s="26">
        <v>6416</v>
      </c>
      <c r="I210" s="26">
        <v>6416</v>
      </c>
      <c r="J210" s="27">
        <f t="shared" si="114"/>
        <v>6416</v>
      </c>
      <c r="K210" s="35">
        <f>'1.04.'!M209</f>
        <v>4812</v>
      </c>
      <c r="L210" s="27">
        <v>1604</v>
      </c>
      <c r="M210" s="92">
        <f t="shared" si="115"/>
        <v>6416</v>
      </c>
      <c r="N210" s="93">
        <f t="shared" si="105"/>
        <v>0</v>
      </c>
      <c r="O210" s="70">
        <f t="shared" si="84"/>
        <v>100</v>
      </c>
      <c r="P210" s="71">
        <f t="shared" si="75"/>
        <v>0</v>
      </c>
      <c r="Q210" s="35">
        <f t="shared" si="76"/>
        <v>0</v>
      </c>
      <c r="R210" s="72">
        <v>1103770</v>
      </c>
      <c r="S210" s="72">
        <f t="shared" si="77"/>
        <v>12618</v>
      </c>
      <c r="T210" s="62">
        <f t="shared" si="80"/>
        <v>12618</v>
      </c>
    </row>
    <row r="211" spans="1:20" ht="25.5">
      <c r="A211" s="100"/>
      <c r="B211" s="9"/>
      <c r="C211" s="9"/>
      <c r="D211" s="69"/>
      <c r="E211" s="69">
        <v>122</v>
      </c>
      <c r="F211" s="136" t="s">
        <v>91</v>
      </c>
      <c r="G211" s="26">
        <v>16535</v>
      </c>
      <c r="H211" s="26">
        <v>5472</v>
      </c>
      <c r="I211" s="26">
        <v>5472</v>
      </c>
      <c r="J211" s="27">
        <f t="shared" si="114"/>
        <v>5439.2719999999999</v>
      </c>
      <c r="K211" s="35">
        <f>'1.04.'!M210</f>
        <v>4104</v>
      </c>
      <c r="L211" s="27">
        <v>1335.2719999999999</v>
      </c>
      <c r="M211" s="92">
        <f t="shared" si="115"/>
        <v>5439.2719999999999</v>
      </c>
      <c r="N211" s="93">
        <f t="shared" si="105"/>
        <v>32.728000000000065</v>
      </c>
      <c r="O211" s="70">
        <f t="shared" si="84"/>
        <v>99.401900584795328</v>
      </c>
      <c r="P211" s="71">
        <f t="shared" si="75"/>
        <v>0</v>
      </c>
      <c r="Q211" s="35">
        <f t="shared" si="76"/>
        <v>32.728000000000065</v>
      </c>
      <c r="R211" s="72">
        <v>1103771</v>
      </c>
      <c r="S211" s="72">
        <f t="shared" si="77"/>
        <v>11095.727999999999</v>
      </c>
      <c r="T211" s="62">
        <f t="shared" si="80"/>
        <v>11095.727999999999</v>
      </c>
    </row>
    <row r="212" spans="1:20">
      <c r="A212" s="100"/>
      <c r="B212" s="9"/>
      <c r="C212" s="9"/>
      <c r="D212" s="69"/>
      <c r="E212" s="69">
        <v>123</v>
      </c>
      <c r="F212" s="136" t="s">
        <v>92</v>
      </c>
      <c r="G212" s="26">
        <v>532</v>
      </c>
      <c r="H212" s="26">
        <v>78</v>
      </c>
      <c r="I212" s="26">
        <v>78</v>
      </c>
      <c r="J212" s="27">
        <f t="shared" si="114"/>
        <v>77.43374</v>
      </c>
      <c r="K212" s="35">
        <f>'1.04.'!M211</f>
        <v>77.43374</v>
      </c>
      <c r="L212" s="27"/>
      <c r="M212" s="92">
        <f t="shared" si="115"/>
        <v>77.43374</v>
      </c>
      <c r="N212" s="93">
        <f t="shared" si="105"/>
        <v>0.56625999999999976</v>
      </c>
      <c r="O212" s="70">
        <f>M212/I212*100</f>
        <v>99.274025641025645</v>
      </c>
      <c r="P212" s="71">
        <f t="shared" si="75"/>
        <v>0</v>
      </c>
      <c r="Q212" s="35">
        <f t="shared" si="76"/>
        <v>0.56625999999999976</v>
      </c>
      <c r="R212" s="72">
        <v>1103772</v>
      </c>
      <c r="S212" s="72">
        <f t="shared" si="77"/>
        <v>454.56626</v>
      </c>
      <c r="T212" s="62">
        <f t="shared" si="80"/>
        <v>454.56626</v>
      </c>
    </row>
    <row r="213" spans="1:20">
      <c r="A213" s="100"/>
      <c r="B213" s="9"/>
      <c r="C213" s="9"/>
      <c r="D213" s="69"/>
      <c r="E213" s="69">
        <v>124</v>
      </c>
      <c r="F213" s="136" t="s">
        <v>93</v>
      </c>
      <c r="G213" s="26">
        <v>11023</v>
      </c>
      <c r="H213" s="26">
        <v>2352</v>
      </c>
      <c r="I213" s="26">
        <v>2352</v>
      </c>
      <c r="J213" s="27">
        <f t="shared" si="114"/>
        <v>2337.5100000000002</v>
      </c>
      <c r="K213" s="35">
        <f>'1.04.'!M212</f>
        <v>1616.771</v>
      </c>
      <c r="L213" s="27">
        <v>720.73900000000003</v>
      </c>
      <c r="M213" s="92">
        <f t="shared" si="115"/>
        <v>2337.5100000000002</v>
      </c>
      <c r="N213" s="93">
        <f t="shared" si="105"/>
        <v>14.489999999999782</v>
      </c>
      <c r="O213" s="70">
        <f t="shared" si="84"/>
        <v>99.383928571428584</v>
      </c>
      <c r="P213" s="71">
        <f t="shared" ref="P213:P280" si="116">J213-M213</f>
        <v>0</v>
      </c>
      <c r="Q213" s="35">
        <f t="shared" ref="Q213:Q280" si="117">H213-J213</f>
        <v>14.489999999999782</v>
      </c>
      <c r="R213" s="72">
        <v>1103773</v>
      </c>
      <c r="S213" s="72">
        <f t="shared" ref="S213:S280" si="118">G213-M213</f>
        <v>8685.49</v>
      </c>
      <c r="T213" s="62">
        <f t="shared" si="80"/>
        <v>8685.49</v>
      </c>
    </row>
    <row r="214" spans="1:20">
      <c r="A214" s="100"/>
      <c r="B214" s="9"/>
      <c r="C214" s="9"/>
      <c r="D214" s="69"/>
      <c r="E214" s="69">
        <v>141</v>
      </c>
      <c r="F214" s="136" t="s">
        <v>116</v>
      </c>
      <c r="G214" s="26">
        <v>103078</v>
      </c>
      <c r="H214" s="26">
        <v>60000</v>
      </c>
      <c r="I214" s="26"/>
      <c r="J214" s="27">
        <v>21925.809000000001</v>
      </c>
      <c r="K214" s="35">
        <f>'1.04.'!M213</f>
        <v>0</v>
      </c>
      <c r="L214" s="27"/>
      <c r="M214" s="92">
        <f t="shared" si="115"/>
        <v>0</v>
      </c>
      <c r="N214" s="93">
        <f t="shared" si="105"/>
        <v>0</v>
      </c>
      <c r="O214" s="70" t="e">
        <f t="shared" si="84"/>
        <v>#DIV/0!</v>
      </c>
      <c r="P214" s="71">
        <f t="shared" si="116"/>
        <v>21925.809000000001</v>
      </c>
      <c r="Q214" s="35">
        <f t="shared" si="117"/>
        <v>38074.190999999999</v>
      </c>
      <c r="R214" s="72">
        <v>1103774</v>
      </c>
      <c r="S214" s="72">
        <f t="shared" si="118"/>
        <v>103078</v>
      </c>
      <c r="T214" s="62">
        <f t="shared" si="80"/>
        <v>81152.190999999992</v>
      </c>
    </row>
    <row r="215" spans="1:20" s="73" customFormat="1">
      <c r="A215" s="100"/>
      <c r="B215" s="9"/>
      <c r="C215" s="9"/>
      <c r="D215" s="69"/>
      <c r="E215" s="69">
        <v>142</v>
      </c>
      <c r="F215" s="136" t="s">
        <v>97</v>
      </c>
      <c r="G215" s="26">
        <f>26237-10823</f>
        <v>15414</v>
      </c>
      <c r="H215" s="26">
        <v>1317.7</v>
      </c>
      <c r="I215" s="26">
        <v>1315.1</v>
      </c>
      <c r="J215" s="27">
        <f>M215+134.56</f>
        <v>1289.9434999999999</v>
      </c>
      <c r="K215" s="35">
        <f>'1.04.'!M214</f>
        <v>829.61289999999997</v>
      </c>
      <c r="L215" s="27">
        <v>325.7706</v>
      </c>
      <c r="M215" s="92">
        <f t="shared" si="115"/>
        <v>1155.3834999999999</v>
      </c>
      <c r="N215" s="93">
        <f t="shared" si="105"/>
        <v>159.7165</v>
      </c>
      <c r="O215" s="70">
        <f t="shared" si="84"/>
        <v>87.855182115428491</v>
      </c>
      <c r="P215" s="71">
        <f t="shared" si="116"/>
        <v>134.55999999999995</v>
      </c>
      <c r="Q215" s="35">
        <f t="shared" si="117"/>
        <v>27.756500000000187</v>
      </c>
      <c r="R215" s="72">
        <v>1103775</v>
      </c>
      <c r="S215" s="72">
        <f t="shared" si="118"/>
        <v>14258.6165</v>
      </c>
      <c r="T215" s="62">
        <f t="shared" si="80"/>
        <v>14124.056500000001</v>
      </c>
    </row>
    <row r="216" spans="1:20">
      <c r="A216" s="100"/>
      <c r="B216" s="9"/>
      <c r="C216" s="9"/>
      <c r="D216" s="69"/>
      <c r="E216" s="69">
        <v>144</v>
      </c>
      <c r="F216" s="136" t="s">
        <v>98</v>
      </c>
      <c r="G216" s="26">
        <v>3824</v>
      </c>
      <c r="H216" s="26">
        <v>2726.4</v>
      </c>
      <c r="I216" s="26"/>
      <c r="J216" s="27">
        <v>1072.652</v>
      </c>
      <c r="K216" s="35">
        <f>'1.04.'!M215</f>
        <v>0</v>
      </c>
      <c r="L216" s="27"/>
      <c r="M216" s="92">
        <f t="shared" si="115"/>
        <v>0</v>
      </c>
      <c r="N216" s="93">
        <f t="shared" si="105"/>
        <v>0</v>
      </c>
      <c r="O216" s="70" t="e">
        <f t="shared" si="84"/>
        <v>#DIV/0!</v>
      </c>
      <c r="P216" s="71">
        <f t="shared" si="116"/>
        <v>1072.652</v>
      </c>
      <c r="Q216" s="35">
        <f t="shared" si="117"/>
        <v>1653.748</v>
      </c>
      <c r="R216" s="72">
        <v>1103776</v>
      </c>
      <c r="S216" s="72">
        <f t="shared" si="118"/>
        <v>3824</v>
      </c>
      <c r="T216" s="62">
        <f t="shared" si="80"/>
        <v>2751.348</v>
      </c>
    </row>
    <row r="217" spans="1:20">
      <c r="A217" s="100"/>
      <c r="B217" s="9"/>
      <c r="C217" s="9"/>
      <c r="D217" s="69"/>
      <c r="E217" s="69">
        <v>149</v>
      </c>
      <c r="F217" s="136" t="s">
        <v>99</v>
      </c>
      <c r="G217" s="26">
        <v>9021</v>
      </c>
      <c r="H217" s="26">
        <v>4333</v>
      </c>
      <c r="I217" s="26">
        <v>4330.5</v>
      </c>
      <c r="J217" s="27">
        <f t="shared" si="114"/>
        <v>3859.76206</v>
      </c>
      <c r="K217" s="35">
        <f>'1.04.'!M216</f>
        <v>800.43269999999995</v>
      </c>
      <c r="L217" s="27">
        <v>3059.3293600000002</v>
      </c>
      <c r="M217" s="92">
        <f t="shared" si="115"/>
        <v>3859.76206</v>
      </c>
      <c r="N217" s="93">
        <f t="shared" si="105"/>
        <v>470.73793999999998</v>
      </c>
      <c r="O217" s="70">
        <f t="shared" si="84"/>
        <v>89.129709271446714</v>
      </c>
      <c r="P217" s="71">
        <f t="shared" si="116"/>
        <v>0</v>
      </c>
      <c r="Q217" s="35">
        <f t="shared" si="117"/>
        <v>473.23793999999998</v>
      </c>
      <c r="R217" s="72">
        <v>1103777</v>
      </c>
      <c r="S217" s="72">
        <f t="shared" si="118"/>
        <v>5161.23794</v>
      </c>
      <c r="T217" s="62">
        <f t="shared" si="80"/>
        <v>5161.23794</v>
      </c>
    </row>
    <row r="218" spans="1:20">
      <c r="A218" s="100"/>
      <c r="B218" s="9"/>
      <c r="C218" s="9"/>
      <c r="D218" s="69"/>
      <c r="E218" s="69">
        <v>151</v>
      </c>
      <c r="F218" s="136" t="s">
        <v>100</v>
      </c>
      <c r="G218" s="26">
        <v>33050</v>
      </c>
      <c r="H218" s="26">
        <v>11239</v>
      </c>
      <c r="I218" s="26">
        <v>11239</v>
      </c>
      <c r="J218" s="27">
        <f t="shared" si="114"/>
        <v>11237.98991</v>
      </c>
      <c r="K218" s="35">
        <f>'1.04.'!M217</f>
        <v>8186.5036400000008</v>
      </c>
      <c r="L218" s="27">
        <v>3051.4862699999999</v>
      </c>
      <c r="M218" s="92">
        <f t="shared" si="115"/>
        <v>11237.98991</v>
      </c>
      <c r="N218" s="93">
        <f t="shared" si="105"/>
        <v>1.0100899999997637</v>
      </c>
      <c r="O218" s="70">
        <f t="shared" si="84"/>
        <v>99.991012634576037</v>
      </c>
      <c r="P218" s="71">
        <f t="shared" si="116"/>
        <v>0</v>
      </c>
      <c r="Q218" s="35">
        <f t="shared" si="117"/>
        <v>1.0100899999997637</v>
      </c>
      <c r="R218" s="72">
        <v>1103778</v>
      </c>
      <c r="S218" s="72">
        <f t="shared" si="118"/>
        <v>21812.01009</v>
      </c>
      <c r="T218" s="62">
        <f t="shared" si="80"/>
        <v>21812.01009</v>
      </c>
    </row>
    <row r="219" spans="1:20" ht="25.5">
      <c r="A219" s="100"/>
      <c r="B219" s="9"/>
      <c r="C219" s="9"/>
      <c r="D219" s="69"/>
      <c r="E219" s="69">
        <v>152</v>
      </c>
      <c r="F219" s="136" t="s">
        <v>101</v>
      </c>
      <c r="G219" s="26">
        <v>3322</v>
      </c>
      <c r="H219" s="26">
        <v>3322</v>
      </c>
      <c r="I219" s="26">
        <v>277</v>
      </c>
      <c r="J219" s="27">
        <v>1939.52</v>
      </c>
      <c r="K219" s="35">
        <f>'1.04.'!M218</f>
        <v>0</v>
      </c>
      <c r="L219" s="27"/>
      <c r="M219" s="92">
        <f t="shared" si="115"/>
        <v>0</v>
      </c>
      <c r="N219" s="93">
        <f t="shared" si="105"/>
        <v>277</v>
      </c>
      <c r="O219" s="70">
        <f t="shared" si="84"/>
        <v>0</v>
      </c>
      <c r="P219" s="71">
        <f t="shared" si="116"/>
        <v>1939.52</v>
      </c>
      <c r="Q219" s="35">
        <f t="shared" si="117"/>
        <v>1382.48</v>
      </c>
      <c r="R219" s="72">
        <v>1103779</v>
      </c>
      <c r="S219" s="72">
        <f t="shared" si="118"/>
        <v>3322</v>
      </c>
      <c r="T219" s="62">
        <f t="shared" si="80"/>
        <v>1382.48</v>
      </c>
    </row>
    <row r="220" spans="1:20">
      <c r="A220" s="100"/>
      <c r="B220" s="9"/>
      <c r="C220" s="9"/>
      <c r="D220" s="69"/>
      <c r="E220" s="69">
        <v>158</v>
      </c>
      <c r="F220" s="136" t="s">
        <v>84</v>
      </c>
      <c r="G220" s="26">
        <v>2290</v>
      </c>
      <c r="H220" s="26">
        <v>2290</v>
      </c>
      <c r="I220" s="26">
        <v>358.9</v>
      </c>
      <c r="J220" s="27">
        <v>1878.4</v>
      </c>
      <c r="K220" s="35">
        <f>'1.04.'!M219</f>
        <v>122</v>
      </c>
      <c r="L220" s="27">
        <v>236.84</v>
      </c>
      <c r="M220" s="92">
        <f t="shared" si="115"/>
        <v>358.84000000000003</v>
      </c>
      <c r="N220" s="93">
        <f t="shared" si="105"/>
        <v>5.999999999994543E-2</v>
      </c>
      <c r="O220" s="70">
        <f t="shared" si="84"/>
        <v>99.983282251323502</v>
      </c>
      <c r="P220" s="71">
        <f t="shared" si="116"/>
        <v>1519.56</v>
      </c>
      <c r="Q220" s="35">
        <f t="shared" si="117"/>
        <v>411.59999999999991</v>
      </c>
      <c r="R220" s="72">
        <v>1103780</v>
      </c>
      <c r="S220" s="72">
        <f t="shared" si="118"/>
        <v>1931.1599999999999</v>
      </c>
      <c r="T220" s="62">
        <f t="shared" si="80"/>
        <v>411.59999999999991</v>
      </c>
    </row>
    <row r="221" spans="1:20">
      <c r="A221" s="100"/>
      <c r="B221" s="9"/>
      <c r="C221" s="9"/>
      <c r="D221" s="69"/>
      <c r="E221" s="69">
        <v>159</v>
      </c>
      <c r="F221" s="136" t="s">
        <v>102</v>
      </c>
      <c r="G221" s="26">
        <f>16176-1560+10823</f>
        <v>25439</v>
      </c>
      <c r="H221" s="26">
        <v>6494</v>
      </c>
      <c r="I221" s="26">
        <v>2756.7</v>
      </c>
      <c r="J221" s="27">
        <v>5513.0094499999996</v>
      </c>
      <c r="K221" s="35">
        <f>'1.04.'!M220</f>
        <v>1587.9994899999999</v>
      </c>
      <c r="L221" s="27">
        <v>1168.4154799999999</v>
      </c>
      <c r="M221" s="92">
        <f t="shared" si="115"/>
        <v>2756.4149699999998</v>
      </c>
      <c r="N221" s="93">
        <f t="shared" si="105"/>
        <v>0.28503000000000611</v>
      </c>
      <c r="O221" s="70">
        <f t="shared" si="84"/>
        <v>99.989660463597787</v>
      </c>
      <c r="P221" s="71">
        <f t="shared" si="116"/>
        <v>2756.5944799999997</v>
      </c>
      <c r="Q221" s="35">
        <f t="shared" si="117"/>
        <v>980.99055000000044</v>
      </c>
      <c r="R221" s="72">
        <v>1103781</v>
      </c>
      <c r="S221" s="72">
        <f t="shared" si="118"/>
        <v>22682.585030000002</v>
      </c>
      <c r="T221" s="62">
        <f t="shared" si="80"/>
        <v>19925.990550000002</v>
      </c>
    </row>
    <row r="222" spans="1:20">
      <c r="A222" s="100"/>
      <c r="B222" s="9"/>
      <c r="C222" s="9"/>
      <c r="D222" s="69"/>
      <c r="E222" s="69">
        <v>161</v>
      </c>
      <c r="F222" s="136" t="s">
        <v>103</v>
      </c>
      <c r="G222" s="26">
        <v>4231</v>
      </c>
      <c r="H222" s="26">
        <v>1645.5</v>
      </c>
      <c r="I222" s="26">
        <v>1645.5</v>
      </c>
      <c r="J222" s="27">
        <f t="shared" si="114"/>
        <v>1645.5</v>
      </c>
      <c r="K222" s="35">
        <f>'1.04.'!M221</f>
        <v>802</v>
      </c>
      <c r="L222" s="27">
        <v>843.5</v>
      </c>
      <c r="M222" s="92">
        <f t="shared" si="115"/>
        <v>1645.5</v>
      </c>
      <c r="N222" s="93">
        <f t="shared" si="105"/>
        <v>0</v>
      </c>
      <c r="O222" s="70">
        <f t="shared" si="84"/>
        <v>100</v>
      </c>
      <c r="P222" s="71">
        <f t="shared" si="116"/>
        <v>0</v>
      </c>
      <c r="Q222" s="35">
        <f t="shared" si="117"/>
        <v>0</v>
      </c>
      <c r="R222" s="72">
        <v>1103782</v>
      </c>
      <c r="S222" s="72">
        <f t="shared" si="118"/>
        <v>2585.5</v>
      </c>
      <c r="T222" s="62">
        <f t="shared" si="80"/>
        <v>2585.5</v>
      </c>
    </row>
    <row r="223" spans="1:20">
      <c r="A223" s="100"/>
      <c r="B223" s="9"/>
      <c r="C223" s="9"/>
      <c r="D223" s="69"/>
      <c r="E223" s="69">
        <v>169</v>
      </c>
      <c r="F223" s="136" t="s">
        <v>103</v>
      </c>
      <c r="G223" s="26">
        <v>63</v>
      </c>
      <c r="H223" s="26"/>
      <c r="I223" s="26"/>
      <c r="J223" s="27">
        <f t="shared" si="114"/>
        <v>0</v>
      </c>
      <c r="K223" s="35">
        <f>'1.04.'!M222</f>
        <v>0</v>
      </c>
      <c r="L223" s="27"/>
      <c r="M223" s="92">
        <f t="shared" si="115"/>
        <v>0</v>
      </c>
      <c r="N223" s="93">
        <f t="shared" si="105"/>
        <v>0</v>
      </c>
      <c r="O223" s="70" t="e">
        <f t="shared" si="84"/>
        <v>#DIV/0!</v>
      </c>
      <c r="P223" s="71">
        <f t="shared" si="116"/>
        <v>0</v>
      </c>
      <c r="Q223" s="35">
        <f t="shared" si="117"/>
        <v>0</v>
      </c>
      <c r="R223" s="72">
        <v>1103783</v>
      </c>
      <c r="S223" s="72">
        <f t="shared" si="118"/>
        <v>63</v>
      </c>
      <c r="T223" s="62">
        <f t="shared" si="80"/>
        <v>63</v>
      </c>
    </row>
    <row r="224" spans="1:20" ht="25.5" hidden="1">
      <c r="A224" s="100"/>
      <c r="B224" s="15"/>
      <c r="C224" s="57" t="s">
        <v>43</v>
      </c>
      <c r="D224" s="18"/>
      <c r="E224" s="115"/>
      <c r="F224" s="67" t="s">
        <v>44</v>
      </c>
      <c r="G224" s="59">
        <f t="shared" ref="G224:N225" si="119">G225</f>
        <v>0</v>
      </c>
      <c r="H224" s="59">
        <f t="shared" si="119"/>
        <v>0</v>
      </c>
      <c r="I224" s="59">
        <f t="shared" si="119"/>
        <v>0</v>
      </c>
      <c r="J224" s="33">
        <f t="shared" si="119"/>
        <v>0</v>
      </c>
      <c r="K224" s="35">
        <f>'1.02.'!M213</f>
        <v>0</v>
      </c>
      <c r="L224" s="59">
        <f t="shared" si="119"/>
        <v>0</v>
      </c>
      <c r="M224" s="59">
        <f t="shared" si="119"/>
        <v>0</v>
      </c>
      <c r="N224" s="59">
        <f t="shared" si="119"/>
        <v>0</v>
      </c>
      <c r="O224" s="70"/>
      <c r="P224" s="71">
        <f t="shared" si="116"/>
        <v>0</v>
      </c>
      <c r="Q224" s="35">
        <f t="shared" si="117"/>
        <v>0</v>
      </c>
      <c r="R224" s="72">
        <v>1103784</v>
      </c>
      <c r="S224" s="72">
        <f t="shared" si="118"/>
        <v>0</v>
      </c>
    </row>
    <row r="225" spans="1:20" hidden="1">
      <c r="A225" s="9"/>
      <c r="B225" s="12"/>
      <c r="C225" s="12"/>
      <c r="D225" s="11" t="s">
        <v>7</v>
      </c>
      <c r="E225" s="97"/>
      <c r="F225" s="4" t="s">
        <v>22</v>
      </c>
      <c r="G225" s="98">
        <f t="shared" si="119"/>
        <v>0</v>
      </c>
      <c r="H225" s="98">
        <f t="shared" si="119"/>
        <v>0</v>
      </c>
      <c r="I225" s="98">
        <f t="shared" si="119"/>
        <v>0</v>
      </c>
      <c r="J225" s="99">
        <f>J226</f>
        <v>0</v>
      </c>
      <c r="K225" s="35">
        <f>'1.02.'!M214</f>
        <v>0</v>
      </c>
      <c r="L225" s="98">
        <f t="shared" si="119"/>
        <v>0</v>
      </c>
      <c r="M225" s="98">
        <f t="shared" si="119"/>
        <v>0</v>
      </c>
      <c r="N225" s="98">
        <f t="shared" si="119"/>
        <v>0</v>
      </c>
      <c r="O225" s="68" t="e">
        <f>M225/I225*100</f>
        <v>#DIV/0!</v>
      </c>
      <c r="P225" s="71">
        <f t="shared" si="116"/>
        <v>0</v>
      </c>
      <c r="Q225" s="35">
        <f t="shared" si="117"/>
        <v>0</v>
      </c>
      <c r="R225" s="72">
        <v>1103785</v>
      </c>
      <c r="S225" s="72">
        <f t="shared" si="118"/>
        <v>0</v>
      </c>
      <c r="T225" s="62">
        <f>G225-J225</f>
        <v>0</v>
      </c>
    </row>
    <row r="226" spans="1:20" ht="25.5" hidden="1">
      <c r="A226" s="100"/>
      <c r="B226" s="15"/>
      <c r="C226" s="15"/>
      <c r="D226" s="16"/>
      <c r="E226" s="20">
        <v>414</v>
      </c>
      <c r="F226" s="86" t="s">
        <v>64</v>
      </c>
      <c r="G226" s="37"/>
      <c r="H226" s="37"/>
      <c r="I226" s="37"/>
      <c r="J226" s="75">
        <f>M226</f>
        <v>0</v>
      </c>
      <c r="K226" s="35">
        <f>'1.02.'!M215</f>
        <v>0</v>
      </c>
      <c r="L226" s="35"/>
      <c r="M226" s="93">
        <f t="shared" ref="M226" si="120">K226+L226</f>
        <v>0</v>
      </c>
      <c r="N226" s="93">
        <f t="shared" ref="N226" si="121">I226-M226</f>
        <v>0</v>
      </c>
      <c r="O226" s="70" t="e">
        <f>M226/I226*100</f>
        <v>#DIV/0!</v>
      </c>
      <c r="P226" s="71">
        <f t="shared" si="116"/>
        <v>0</v>
      </c>
      <c r="Q226" s="35">
        <f t="shared" si="117"/>
        <v>0</v>
      </c>
      <c r="R226" s="72">
        <v>1103786</v>
      </c>
      <c r="S226" s="72">
        <f t="shared" si="118"/>
        <v>0</v>
      </c>
    </row>
    <row r="227" spans="1:20" s="73" customFormat="1" ht="38.25">
      <c r="A227" s="100"/>
      <c r="B227" s="17">
        <v>1267</v>
      </c>
      <c r="C227" s="8"/>
      <c r="D227" s="21"/>
      <c r="E227" s="21"/>
      <c r="F227" s="139" t="s">
        <v>126</v>
      </c>
      <c r="G227" s="42">
        <f t="shared" ref="G227:N227" si="122">G228+G231+G251+G255+G273</f>
        <v>7960352</v>
      </c>
      <c r="H227" s="42">
        <f t="shared" si="122"/>
        <v>1244452</v>
      </c>
      <c r="I227" s="42">
        <f t="shared" si="122"/>
        <v>1186758.6000000001</v>
      </c>
      <c r="J227" s="29">
        <f t="shared" si="122"/>
        <v>1228540.5462600002</v>
      </c>
      <c r="K227" s="29">
        <f>'1.02.'!M216</f>
        <v>60896.595510000006</v>
      </c>
      <c r="L227" s="42">
        <f t="shared" si="122"/>
        <v>403783.13889999996</v>
      </c>
      <c r="M227" s="29">
        <f t="shared" si="122"/>
        <v>1186443.31911</v>
      </c>
      <c r="N227" s="29">
        <f t="shared" si="122"/>
        <v>315.28088999999454</v>
      </c>
      <c r="O227" s="68">
        <f t="shared" si="84"/>
        <v>99.973433443836001</v>
      </c>
      <c r="P227" s="71">
        <f t="shared" si="116"/>
        <v>42097.227150000166</v>
      </c>
      <c r="Q227" s="35">
        <f t="shared" si="117"/>
        <v>15911.453739999793</v>
      </c>
      <c r="R227" s="72">
        <v>1103787</v>
      </c>
      <c r="S227" s="72">
        <f t="shared" si="118"/>
        <v>6773908.6808899995</v>
      </c>
      <c r="T227" s="62">
        <f t="shared" si="80"/>
        <v>6731811.4537399998</v>
      </c>
    </row>
    <row r="228" spans="1:20" ht="25.5">
      <c r="A228" s="103"/>
      <c r="B228" s="8"/>
      <c r="C228" s="17" t="s">
        <v>28</v>
      </c>
      <c r="D228" s="21"/>
      <c r="E228" s="21"/>
      <c r="F228" s="125" t="s">
        <v>127</v>
      </c>
      <c r="G228" s="23">
        <f>G229</f>
        <v>19620</v>
      </c>
      <c r="H228" s="23">
        <f t="shared" ref="H228:O229" si="123">H229</f>
        <v>0</v>
      </c>
      <c r="I228" s="23">
        <f t="shared" si="123"/>
        <v>0</v>
      </c>
      <c r="J228" s="38">
        <f t="shared" si="123"/>
        <v>0</v>
      </c>
      <c r="K228" s="35">
        <f>'1.02.'!M217</f>
        <v>0</v>
      </c>
      <c r="L228" s="23">
        <f t="shared" si="123"/>
        <v>0</v>
      </c>
      <c r="M228" s="25">
        <f t="shared" si="123"/>
        <v>0</v>
      </c>
      <c r="N228" s="23">
        <f t="shared" si="123"/>
        <v>0</v>
      </c>
      <c r="O228" s="39" t="e">
        <f t="shared" si="123"/>
        <v>#DIV/0!</v>
      </c>
      <c r="P228" s="71">
        <f t="shared" si="116"/>
        <v>0</v>
      </c>
      <c r="Q228" s="35">
        <f t="shared" si="117"/>
        <v>0</v>
      </c>
      <c r="R228" s="72">
        <v>1103788</v>
      </c>
      <c r="S228" s="72">
        <f t="shared" si="118"/>
        <v>19620</v>
      </c>
    </row>
    <row r="229" spans="1:20">
      <c r="A229" s="100"/>
      <c r="B229" s="8"/>
      <c r="C229" s="8"/>
      <c r="D229" s="17" t="s">
        <v>7</v>
      </c>
      <c r="E229" s="10"/>
      <c r="F229" s="140" t="s">
        <v>85</v>
      </c>
      <c r="G229" s="59">
        <f>G230</f>
        <v>19620</v>
      </c>
      <c r="H229" s="59">
        <f t="shared" si="123"/>
        <v>0</v>
      </c>
      <c r="I229" s="59">
        <f t="shared" si="123"/>
        <v>0</v>
      </c>
      <c r="J229" s="59">
        <f t="shared" si="123"/>
        <v>0</v>
      </c>
      <c r="K229" s="35">
        <f>'1.02.'!M218</f>
        <v>0</v>
      </c>
      <c r="L229" s="59">
        <f t="shared" si="123"/>
        <v>0</v>
      </c>
      <c r="M229" s="59">
        <f t="shared" si="123"/>
        <v>0</v>
      </c>
      <c r="N229" s="59">
        <f t="shared" si="123"/>
        <v>0</v>
      </c>
      <c r="O229" s="68" t="e">
        <f>M229/I229*100</f>
        <v>#DIV/0!</v>
      </c>
      <c r="P229" s="71">
        <f t="shared" si="116"/>
        <v>0</v>
      </c>
      <c r="Q229" s="35">
        <f t="shared" si="117"/>
        <v>0</v>
      </c>
      <c r="R229" s="72">
        <v>1103789</v>
      </c>
      <c r="S229" s="72">
        <f t="shared" si="118"/>
        <v>19620</v>
      </c>
    </row>
    <row r="230" spans="1:20">
      <c r="A230" s="100"/>
      <c r="B230" s="9"/>
      <c r="C230" s="9"/>
      <c r="D230" s="69"/>
      <c r="E230" s="69">
        <v>159</v>
      </c>
      <c r="F230" s="136" t="s">
        <v>84</v>
      </c>
      <c r="G230" s="26">
        <v>19620</v>
      </c>
      <c r="H230" s="26"/>
      <c r="I230" s="26"/>
      <c r="J230" s="105">
        <f>M230</f>
        <v>0</v>
      </c>
      <c r="K230" s="35">
        <f>'1.02.'!M219</f>
        <v>0</v>
      </c>
      <c r="L230" s="27"/>
      <c r="M230" s="92">
        <f>K230+L230</f>
        <v>0</v>
      </c>
      <c r="N230" s="93">
        <f>I230-M230</f>
        <v>0</v>
      </c>
      <c r="O230" s="70" t="e">
        <f>M230/I230*100</f>
        <v>#DIV/0!</v>
      </c>
      <c r="P230" s="71">
        <f t="shared" si="116"/>
        <v>0</v>
      </c>
      <c r="Q230" s="35">
        <f t="shared" si="117"/>
        <v>0</v>
      </c>
      <c r="R230" s="72">
        <v>1103790</v>
      </c>
      <c r="S230" s="72">
        <f t="shared" si="118"/>
        <v>19620</v>
      </c>
    </row>
    <row r="231" spans="1:20" s="95" customFormat="1" ht="51">
      <c r="A231" s="100"/>
      <c r="B231" s="8"/>
      <c r="C231" s="17" t="s">
        <v>29</v>
      </c>
      <c r="D231" s="21"/>
      <c r="E231" s="21"/>
      <c r="F231" s="139" t="s">
        <v>128</v>
      </c>
      <c r="G231" s="59">
        <f>G232</f>
        <v>1078082</v>
      </c>
      <c r="H231" s="59">
        <f t="shared" ref="H231:N231" si="124">H232</f>
        <v>366294.30000000005</v>
      </c>
      <c r="I231" s="59">
        <f t="shared" si="124"/>
        <v>320600.90000000002</v>
      </c>
      <c r="J231" s="29">
        <f t="shared" si="124"/>
        <v>362383.34723000007</v>
      </c>
      <c r="K231" s="59">
        <f t="shared" si="124"/>
        <v>231176.70118</v>
      </c>
      <c r="L231" s="29">
        <f t="shared" si="124"/>
        <v>89109.418900000004</v>
      </c>
      <c r="M231" s="29">
        <f t="shared" si="124"/>
        <v>320286.12008000008</v>
      </c>
      <c r="N231" s="29">
        <f t="shared" si="124"/>
        <v>314.77991999994265</v>
      </c>
      <c r="O231" s="68">
        <f>M231/I231*100</f>
        <v>99.901815646805744</v>
      </c>
      <c r="P231" s="71">
        <f t="shared" si="116"/>
        <v>42097.227149999992</v>
      </c>
      <c r="Q231" s="35">
        <f t="shared" si="117"/>
        <v>3910.9527699999744</v>
      </c>
      <c r="R231" s="72">
        <v>1103791</v>
      </c>
      <c r="S231" s="72">
        <f t="shared" si="118"/>
        <v>757795.87991999998</v>
      </c>
      <c r="T231" s="62">
        <f t="shared" si="80"/>
        <v>715698.65276999993</v>
      </c>
    </row>
    <row r="232" spans="1:20">
      <c r="A232" s="100"/>
      <c r="B232" s="8"/>
      <c r="C232" s="8"/>
      <c r="D232" s="17" t="s">
        <v>7</v>
      </c>
      <c r="E232" s="10"/>
      <c r="F232" s="140" t="s">
        <v>85</v>
      </c>
      <c r="G232" s="59">
        <f>SUM(G233:G250)</f>
        <v>1078082</v>
      </c>
      <c r="H232" s="59">
        <f>SUM(H233:H250)</f>
        <v>366294.30000000005</v>
      </c>
      <c r="I232" s="59">
        <f t="shared" ref="I232:M232" si="125">SUM(I233:I250)</f>
        <v>320600.90000000002</v>
      </c>
      <c r="J232" s="29">
        <f t="shared" si="125"/>
        <v>362383.34723000007</v>
      </c>
      <c r="K232" s="59">
        <f t="shared" si="125"/>
        <v>231176.70118</v>
      </c>
      <c r="L232" s="29">
        <f t="shared" si="125"/>
        <v>89109.418900000004</v>
      </c>
      <c r="M232" s="59">
        <f t="shared" si="125"/>
        <v>320286.12008000008</v>
      </c>
      <c r="N232" s="102">
        <f>I232-M232</f>
        <v>314.77991999994265</v>
      </c>
      <c r="O232" s="68">
        <f>M232/I232*100</f>
        <v>99.901815646805744</v>
      </c>
      <c r="P232" s="71">
        <f t="shared" si="116"/>
        <v>42097.227149999992</v>
      </c>
      <c r="Q232" s="35">
        <f t="shared" si="117"/>
        <v>3910.9527699999744</v>
      </c>
      <c r="R232" s="72">
        <v>1103792</v>
      </c>
      <c r="S232" s="72">
        <f t="shared" si="118"/>
        <v>757795.87991999998</v>
      </c>
      <c r="T232" s="62">
        <f t="shared" ref="T232:T250" si="126">G232-J232</f>
        <v>715698.65276999993</v>
      </c>
    </row>
    <row r="233" spans="1:20">
      <c r="A233" s="100"/>
      <c r="B233" s="9"/>
      <c r="C233" s="9"/>
      <c r="D233" s="69"/>
      <c r="E233" s="69">
        <v>111</v>
      </c>
      <c r="F233" s="136" t="s">
        <v>86</v>
      </c>
      <c r="G233" s="26">
        <f>686021+106628</f>
        <v>792649</v>
      </c>
      <c r="H233" s="26">
        <v>244000</v>
      </c>
      <c r="I233" s="26">
        <v>244000</v>
      </c>
      <c r="J233" s="105">
        <f>M233</f>
        <v>244000</v>
      </c>
      <c r="K233" s="35">
        <f>'1.04.'!M232</f>
        <v>183000</v>
      </c>
      <c r="L233" s="27">
        <v>61000</v>
      </c>
      <c r="M233" s="92">
        <f t="shared" ref="M233:M260" si="127">K233+L233</f>
        <v>244000</v>
      </c>
      <c r="N233" s="93">
        <f>I233-M233</f>
        <v>0</v>
      </c>
      <c r="O233" s="70">
        <f t="shared" ref="O233:O250" si="128">M233/I233*100</f>
        <v>100</v>
      </c>
      <c r="P233" s="71">
        <f t="shared" si="116"/>
        <v>0</v>
      </c>
      <c r="Q233" s="35">
        <f t="shared" si="117"/>
        <v>0</v>
      </c>
      <c r="R233" s="72">
        <v>1103793</v>
      </c>
      <c r="S233" s="72">
        <f t="shared" si="118"/>
        <v>548649</v>
      </c>
      <c r="T233" s="62">
        <f t="shared" si="126"/>
        <v>548649</v>
      </c>
    </row>
    <row r="234" spans="1:20">
      <c r="A234" s="100"/>
      <c r="B234" s="9"/>
      <c r="C234" s="9"/>
      <c r="D234" s="69"/>
      <c r="E234" s="69">
        <v>112</v>
      </c>
      <c r="F234" s="136" t="s">
        <v>87</v>
      </c>
      <c r="G234" s="26">
        <v>5500</v>
      </c>
      <c r="H234" s="26">
        <v>5500</v>
      </c>
      <c r="I234" s="26">
        <v>5500</v>
      </c>
      <c r="J234" s="105">
        <f t="shared" ref="J234:J240" si="129">M234</f>
        <v>5500</v>
      </c>
      <c r="K234" s="35">
        <f>'1.04.'!M233</f>
        <v>0</v>
      </c>
      <c r="L234" s="27">
        <v>5500</v>
      </c>
      <c r="M234" s="92">
        <f t="shared" si="127"/>
        <v>5500</v>
      </c>
      <c r="N234" s="93">
        <f t="shared" ref="N234:N250" si="130">I234-M234</f>
        <v>0</v>
      </c>
      <c r="O234" s="70">
        <f t="shared" si="128"/>
        <v>100</v>
      </c>
      <c r="P234" s="71">
        <f t="shared" si="116"/>
        <v>0</v>
      </c>
      <c r="Q234" s="35">
        <f t="shared" si="117"/>
        <v>0</v>
      </c>
      <c r="R234" s="72">
        <v>1103794</v>
      </c>
      <c r="S234" s="72">
        <f t="shared" si="118"/>
        <v>0</v>
      </c>
    </row>
    <row r="235" spans="1:20">
      <c r="A235" s="100"/>
      <c r="B235" s="9"/>
      <c r="C235" s="9"/>
      <c r="D235" s="69"/>
      <c r="E235" s="76">
        <v>113</v>
      </c>
      <c r="F235" s="136" t="s">
        <v>88</v>
      </c>
      <c r="G235" s="26">
        <v>32776</v>
      </c>
      <c r="H235" s="26">
        <v>3698</v>
      </c>
      <c r="I235" s="26">
        <v>3698</v>
      </c>
      <c r="J235" s="105">
        <f t="shared" si="129"/>
        <v>3697.9639999999999</v>
      </c>
      <c r="K235" s="35">
        <f>'1.04.'!M234</f>
        <v>2291.6</v>
      </c>
      <c r="L235" s="27">
        <v>1406.364</v>
      </c>
      <c r="M235" s="92">
        <f t="shared" si="127"/>
        <v>3697.9639999999999</v>
      </c>
      <c r="N235" s="93">
        <f t="shared" si="130"/>
        <v>3.6000000000058208E-2</v>
      </c>
      <c r="O235" s="70">
        <f t="shared" si="128"/>
        <v>99.999026500811254</v>
      </c>
      <c r="P235" s="71">
        <f t="shared" si="116"/>
        <v>0</v>
      </c>
      <c r="Q235" s="35">
        <f t="shared" si="117"/>
        <v>3.6000000000058208E-2</v>
      </c>
      <c r="R235" s="72">
        <v>1103795</v>
      </c>
      <c r="S235" s="72">
        <f t="shared" si="118"/>
        <v>29078.036</v>
      </c>
      <c r="T235" s="62">
        <f t="shared" si="126"/>
        <v>29078.036</v>
      </c>
    </row>
    <row r="236" spans="1:20">
      <c r="A236" s="100"/>
      <c r="B236" s="9"/>
      <c r="C236" s="9"/>
      <c r="D236" s="69"/>
      <c r="E236" s="69">
        <v>116</v>
      </c>
      <c r="F236" s="136" t="s">
        <v>89</v>
      </c>
      <c r="G236" s="26">
        <f>24011+3925</f>
        <v>27936</v>
      </c>
      <c r="H236" s="26">
        <v>7066</v>
      </c>
      <c r="I236" s="26">
        <v>7066</v>
      </c>
      <c r="J236" s="105">
        <f t="shared" si="129"/>
        <v>7066</v>
      </c>
      <c r="K236" s="35">
        <f>'1.04.'!M235</f>
        <v>4738</v>
      </c>
      <c r="L236" s="27">
        <v>2328</v>
      </c>
      <c r="M236" s="92">
        <f>K236+L236</f>
        <v>7066</v>
      </c>
      <c r="N236" s="93">
        <f t="shared" si="130"/>
        <v>0</v>
      </c>
      <c r="O236" s="70">
        <f>M236/I236*100</f>
        <v>100</v>
      </c>
      <c r="P236" s="71">
        <f t="shared" si="116"/>
        <v>0</v>
      </c>
      <c r="Q236" s="35">
        <f t="shared" si="117"/>
        <v>0</v>
      </c>
      <c r="R236" s="72">
        <v>1103796</v>
      </c>
      <c r="S236" s="72">
        <f t="shared" si="118"/>
        <v>20870</v>
      </c>
    </row>
    <row r="237" spans="1:20">
      <c r="A237" s="100"/>
      <c r="B237" s="9"/>
      <c r="C237" s="9"/>
      <c r="D237" s="69"/>
      <c r="E237" s="69">
        <v>121</v>
      </c>
      <c r="F237" s="136" t="s">
        <v>90</v>
      </c>
      <c r="G237" s="26">
        <f>35536+5920</f>
        <v>41456</v>
      </c>
      <c r="H237" s="26">
        <v>10659</v>
      </c>
      <c r="I237" s="26">
        <v>10659</v>
      </c>
      <c r="J237" s="105">
        <f t="shared" si="129"/>
        <v>10659</v>
      </c>
      <c r="K237" s="35">
        <f>'1.04.'!M236</f>
        <v>7106</v>
      </c>
      <c r="L237" s="27">
        <v>3553</v>
      </c>
      <c r="M237" s="92">
        <f>K237+L237</f>
        <v>10659</v>
      </c>
      <c r="N237" s="93">
        <f t="shared" si="130"/>
        <v>0</v>
      </c>
      <c r="O237" s="70">
        <f>M237/I237*100</f>
        <v>100</v>
      </c>
      <c r="P237" s="71">
        <f t="shared" si="116"/>
        <v>0</v>
      </c>
      <c r="Q237" s="35">
        <f t="shared" si="117"/>
        <v>0</v>
      </c>
      <c r="R237" s="72">
        <v>1103797</v>
      </c>
      <c r="S237" s="72">
        <f t="shared" si="118"/>
        <v>30797</v>
      </c>
      <c r="T237" s="62">
        <f t="shared" si="126"/>
        <v>30797</v>
      </c>
    </row>
    <row r="238" spans="1:20" ht="25.5">
      <c r="A238" s="100"/>
      <c r="B238" s="9"/>
      <c r="C238" s="9"/>
      <c r="D238" s="69"/>
      <c r="E238" s="69">
        <v>122</v>
      </c>
      <c r="F238" s="136" t="s">
        <v>91</v>
      </c>
      <c r="G238" s="26">
        <f>30871+5046</f>
        <v>35917</v>
      </c>
      <c r="H238" s="26">
        <v>10831</v>
      </c>
      <c r="I238" s="26">
        <v>10831</v>
      </c>
      <c r="J238" s="105">
        <f t="shared" si="129"/>
        <v>10831</v>
      </c>
      <c r="K238" s="35">
        <f>'1.04.'!M237</f>
        <v>7744</v>
      </c>
      <c r="L238" s="27">
        <v>3087</v>
      </c>
      <c r="M238" s="92">
        <f t="shared" si="127"/>
        <v>10831</v>
      </c>
      <c r="N238" s="93">
        <f t="shared" si="130"/>
        <v>0</v>
      </c>
      <c r="O238" s="70">
        <f t="shared" si="128"/>
        <v>100</v>
      </c>
      <c r="P238" s="71">
        <f t="shared" si="116"/>
        <v>0</v>
      </c>
      <c r="Q238" s="35">
        <f t="shared" si="117"/>
        <v>0</v>
      </c>
      <c r="R238" s="72">
        <v>1103798</v>
      </c>
      <c r="S238" s="72">
        <f t="shared" si="118"/>
        <v>25086</v>
      </c>
      <c r="T238" s="62">
        <f t="shared" si="126"/>
        <v>25086</v>
      </c>
    </row>
    <row r="239" spans="1:20">
      <c r="A239" s="100"/>
      <c r="B239" s="9"/>
      <c r="C239" s="9"/>
      <c r="D239" s="69"/>
      <c r="E239" s="69">
        <v>123</v>
      </c>
      <c r="F239" s="136" t="s">
        <v>92</v>
      </c>
      <c r="G239" s="26">
        <v>342</v>
      </c>
      <c r="H239" s="26"/>
      <c r="I239" s="26"/>
      <c r="J239" s="105">
        <f t="shared" si="129"/>
        <v>0</v>
      </c>
      <c r="K239" s="35">
        <f>'1.04.'!M238</f>
        <v>0</v>
      </c>
      <c r="L239" s="27"/>
      <c r="M239" s="92">
        <f t="shared" si="127"/>
        <v>0</v>
      </c>
      <c r="N239" s="93">
        <f t="shared" si="130"/>
        <v>0</v>
      </c>
      <c r="O239" s="70" t="e">
        <f t="shared" si="128"/>
        <v>#DIV/0!</v>
      </c>
      <c r="P239" s="71">
        <f t="shared" si="116"/>
        <v>0</v>
      </c>
      <c r="Q239" s="35">
        <f t="shared" si="117"/>
        <v>0</v>
      </c>
      <c r="R239" s="72">
        <v>1103799</v>
      </c>
      <c r="S239" s="72">
        <f t="shared" si="118"/>
        <v>342</v>
      </c>
    </row>
    <row r="240" spans="1:20">
      <c r="A240" s="100"/>
      <c r="B240" s="9"/>
      <c r="C240" s="9"/>
      <c r="D240" s="69"/>
      <c r="E240" s="69">
        <v>124</v>
      </c>
      <c r="F240" s="136" t="s">
        <v>93</v>
      </c>
      <c r="G240" s="26">
        <f>20581+3364</f>
        <v>23945</v>
      </c>
      <c r="H240" s="26">
        <v>5985</v>
      </c>
      <c r="I240" s="26">
        <v>5985</v>
      </c>
      <c r="J240" s="105">
        <f t="shared" si="129"/>
        <v>5985</v>
      </c>
      <c r="K240" s="35">
        <f>'1.04.'!M239</f>
        <v>3990</v>
      </c>
      <c r="L240" s="27">
        <v>1995</v>
      </c>
      <c r="M240" s="92">
        <f t="shared" si="127"/>
        <v>5985</v>
      </c>
      <c r="N240" s="93">
        <f t="shared" si="130"/>
        <v>0</v>
      </c>
      <c r="O240" s="70">
        <f t="shared" si="128"/>
        <v>100</v>
      </c>
      <c r="P240" s="71">
        <f t="shared" si="116"/>
        <v>0</v>
      </c>
      <c r="Q240" s="35">
        <f t="shared" si="117"/>
        <v>0</v>
      </c>
      <c r="R240" s="72">
        <v>1103800</v>
      </c>
      <c r="S240" s="72">
        <f t="shared" si="118"/>
        <v>17960</v>
      </c>
      <c r="T240" s="62">
        <f t="shared" si="126"/>
        <v>17960</v>
      </c>
    </row>
    <row r="241" spans="1:20">
      <c r="A241" s="100"/>
      <c r="B241" s="9"/>
      <c r="C241" s="9"/>
      <c r="D241" s="69"/>
      <c r="E241" s="69">
        <v>144</v>
      </c>
      <c r="F241" s="136" t="s">
        <v>97</v>
      </c>
      <c r="G241" s="26">
        <f>9873-951.9</f>
        <v>8921.1</v>
      </c>
      <c r="H241" s="26">
        <v>8921</v>
      </c>
      <c r="I241" s="26">
        <v>7888.2</v>
      </c>
      <c r="J241" s="105">
        <v>8921.0878400000001</v>
      </c>
      <c r="K241" s="35">
        <f>'1.04.'!M240</f>
        <v>7888.0278399999997</v>
      </c>
      <c r="L241" s="27"/>
      <c r="M241" s="92">
        <f t="shared" si="127"/>
        <v>7888.0278399999997</v>
      </c>
      <c r="N241" s="93">
        <f t="shared" si="130"/>
        <v>0.17216000000007625</v>
      </c>
      <c r="O241" s="70">
        <f t="shared" si="128"/>
        <v>99.997817499556291</v>
      </c>
      <c r="P241" s="71">
        <f t="shared" si="116"/>
        <v>1033.0600000000004</v>
      </c>
      <c r="Q241" s="35">
        <f t="shared" si="117"/>
        <v>-8.7840000000142027E-2</v>
      </c>
      <c r="R241" s="72">
        <v>1103801</v>
      </c>
      <c r="S241" s="72">
        <f t="shared" si="118"/>
        <v>1033.0721600000006</v>
      </c>
      <c r="T241" s="62">
        <f t="shared" si="126"/>
        <v>1.2160000000221771E-2</v>
      </c>
    </row>
    <row r="242" spans="1:20">
      <c r="A242" s="100"/>
      <c r="B242" s="9"/>
      <c r="C242" s="9"/>
      <c r="D242" s="69"/>
      <c r="E242" s="69">
        <v>149</v>
      </c>
      <c r="F242" s="136" t="s">
        <v>98</v>
      </c>
      <c r="G242" s="26">
        <v>21813</v>
      </c>
      <c r="H242" s="26">
        <v>4629</v>
      </c>
      <c r="I242" s="26">
        <v>2334</v>
      </c>
      <c r="J242" s="105">
        <v>2516.5204199999998</v>
      </c>
      <c r="K242" s="35">
        <f>'1.04.'!M241</f>
        <v>26.997</v>
      </c>
      <c r="L242" s="27">
        <v>2252.8834200000001</v>
      </c>
      <c r="M242" s="92">
        <f t="shared" si="127"/>
        <v>2279.88042</v>
      </c>
      <c r="N242" s="93">
        <f t="shared" si="130"/>
        <v>54.119580000000042</v>
      </c>
      <c r="O242" s="70">
        <f t="shared" si="128"/>
        <v>97.681251928020558</v>
      </c>
      <c r="P242" s="71">
        <f t="shared" si="116"/>
        <v>236.63999999999987</v>
      </c>
      <c r="Q242" s="35">
        <f t="shared" si="117"/>
        <v>2112.4795800000002</v>
      </c>
      <c r="R242" s="72">
        <v>1103802</v>
      </c>
      <c r="S242" s="72">
        <f t="shared" si="118"/>
        <v>19533.119579999999</v>
      </c>
      <c r="T242" s="62">
        <f t="shared" si="126"/>
        <v>19296.479579999999</v>
      </c>
    </row>
    <row r="243" spans="1:20">
      <c r="A243" s="100"/>
      <c r="B243" s="9"/>
      <c r="C243" s="9"/>
      <c r="D243" s="69"/>
      <c r="E243" s="69">
        <v>151</v>
      </c>
      <c r="F243" s="136" t="s">
        <v>99</v>
      </c>
      <c r="G243" s="26">
        <v>10168</v>
      </c>
      <c r="H243" s="26">
        <v>5636</v>
      </c>
      <c r="I243" s="26">
        <v>5636</v>
      </c>
      <c r="J243" s="105">
        <f>M243</f>
        <v>5376.3804900000005</v>
      </c>
      <c r="K243" s="35">
        <f>'1.04.'!M242</f>
        <v>4190.9584800000002</v>
      </c>
      <c r="L243" s="27">
        <v>1185.42201</v>
      </c>
      <c r="M243" s="92">
        <f t="shared" si="127"/>
        <v>5376.3804900000005</v>
      </c>
      <c r="N243" s="93">
        <f t="shared" si="130"/>
        <v>259.61950999999954</v>
      </c>
      <c r="O243" s="70">
        <f t="shared" si="128"/>
        <v>95.393550212916963</v>
      </c>
      <c r="P243" s="71">
        <f t="shared" si="116"/>
        <v>0</v>
      </c>
      <c r="Q243" s="35">
        <f t="shared" si="117"/>
        <v>259.61950999999954</v>
      </c>
      <c r="R243" s="72">
        <v>1103803</v>
      </c>
      <c r="S243" s="72">
        <f t="shared" si="118"/>
        <v>4791.6195099999995</v>
      </c>
      <c r="T243" s="62">
        <f t="shared" si="126"/>
        <v>4791.6195099999995</v>
      </c>
    </row>
    <row r="244" spans="1:20">
      <c r="A244" s="100"/>
      <c r="B244" s="9"/>
      <c r="C244" s="9"/>
      <c r="D244" s="69"/>
      <c r="E244" s="69">
        <v>152</v>
      </c>
      <c r="F244" s="136" t="s">
        <v>100</v>
      </c>
      <c r="G244" s="26">
        <f>34000-419.4</f>
        <v>33580.6</v>
      </c>
      <c r="H244" s="26">
        <v>31008.9</v>
      </c>
      <c r="I244" s="26">
        <v>8286.7999999999993</v>
      </c>
      <c r="J244" s="105">
        <v>31008.889520000001</v>
      </c>
      <c r="K244" s="35">
        <f>'1.04.'!M243</f>
        <v>5718.5938999999998</v>
      </c>
      <c r="L244" s="27">
        <v>2568.1574300000002</v>
      </c>
      <c r="M244" s="92">
        <f t="shared" si="127"/>
        <v>8286.7513299999991</v>
      </c>
      <c r="N244" s="93">
        <f t="shared" si="130"/>
        <v>4.8670000000129221E-2</v>
      </c>
      <c r="O244" s="70">
        <f t="shared" si="128"/>
        <v>99.999412680407403</v>
      </c>
      <c r="P244" s="71">
        <f t="shared" si="116"/>
        <v>22722.138190000001</v>
      </c>
      <c r="Q244" s="35">
        <f t="shared" si="117"/>
        <v>1.0480000000825385E-2</v>
      </c>
      <c r="R244" s="72">
        <v>1103804</v>
      </c>
      <c r="S244" s="72">
        <f t="shared" si="118"/>
        <v>25293.848669999999</v>
      </c>
      <c r="T244" s="62">
        <f t="shared" si="126"/>
        <v>2571.7104799999979</v>
      </c>
    </row>
    <row r="245" spans="1:20" ht="25.5">
      <c r="A245" s="100"/>
      <c r="B245" s="9"/>
      <c r="C245" s="9"/>
      <c r="D245" s="69"/>
      <c r="E245" s="69">
        <v>158</v>
      </c>
      <c r="F245" s="136" t="s">
        <v>101</v>
      </c>
      <c r="G245" s="26">
        <v>3657</v>
      </c>
      <c r="H245" s="26">
        <v>3657</v>
      </c>
      <c r="I245" s="26">
        <v>915</v>
      </c>
      <c r="J245" s="105">
        <v>3657</v>
      </c>
      <c r="K245" s="35">
        <f>'1.04.'!M244</f>
        <v>609.5</v>
      </c>
      <c r="L245" s="27">
        <v>304.75</v>
      </c>
      <c r="M245" s="92">
        <f t="shared" si="127"/>
        <v>914.25</v>
      </c>
      <c r="N245" s="93">
        <f t="shared" si="130"/>
        <v>0.75</v>
      </c>
      <c r="O245" s="70">
        <f t="shared" si="128"/>
        <v>99.918032786885249</v>
      </c>
      <c r="P245" s="71">
        <f t="shared" si="116"/>
        <v>2742.75</v>
      </c>
      <c r="Q245" s="35">
        <f t="shared" si="117"/>
        <v>0</v>
      </c>
      <c r="R245" s="72">
        <v>1103805</v>
      </c>
      <c r="S245" s="72">
        <f t="shared" si="118"/>
        <v>2742.75</v>
      </c>
      <c r="T245" s="62">
        <f t="shared" si="126"/>
        <v>0</v>
      </c>
    </row>
    <row r="246" spans="1:20">
      <c r="A246" s="100"/>
      <c r="B246" s="9"/>
      <c r="C246" s="9"/>
      <c r="D246" s="69"/>
      <c r="E246" s="69">
        <v>159</v>
      </c>
      <c r="F246" s="136" t="s">
        <v>84</v>
      </c>
      <c r="G246" s="26">
        <f>28010+419.4+899.9</f>
        <v>29329.300000000003</v>
      </c>
      <c r="H246" s="26">
        <v>21701.4</v>
      </c>
      <c r="I246" s="26">
        <v>4799.8999999999996</v>
      </c>
      <c r="J246" s="105">
        <v>20162.538960000002</v>
      </c>
      <c r="K246" s="35">
        <f>'1.04.'!M245</f>
        <v>2523.02396</v>
      </c>
      <c r="L246" s="27">
        <v>2276.8760400000001</v>
      </c>
      <c r="M246" s="92">
        <f t="shared" si="127"/>
        <v>4799.8999999999996</v>
      </c>
      <c r="N246" s="93">
        <f t="shared" si="130"/>
        <v>0</v>
      </c>
      <c r="O246" s="70">
        <f t="shared" si="128"/>
        <v>100</v>
      </c>
      <c r="P246" s="71">
        <f t="shared" si="116"/>
        <v>15362.638960000002</v>
      </c>
      <c r="Q246" s="35">
        <f t="shared" si="117"/>
        <v>1538.8610399999998</v>
      </c>
      <c r="R246" s="72">
        <v>1103806</v>
      </c>
      <c r="S246" s="72">
        <f t="shared" si="118"/>
        <v>24529.4</v>
      </c>
      <c r="T246" s="62">
        <f t="shared" si="126"/>
        <v>9166.7610400000012</v>
      </c>
    </row>
    <row r="247" spans="1:20">
      <c r="A247" s="100"/>
      <c r="B247" s="9"/>
      <c r="C247" s="9"/>
      <c r="D247" s="69"/>
      <c r="E247" s="69">
        <v>161</v>
      </c>
      <c r="F247" s="136" t="s">
        <v>102</v>
      </c>
      <c r="G247" s="26">
        <f>9868+50</f>
        <v>9918</v>
      </c>
      <c r="H247" s="26">
        <v>2950</v>
      </c>
      <c r="I247" s="26">
        <v>2950</v>
      </c>
      <c r="J247" s="105">
        <f t="shared" ref="J247:J250" si="131">M247</f>
        <v>2950</v>
      </c>
      <c r="K247" s="35">
        <f>'1.04.'!M246</f>
        <v>1350</v>
      </c>
      <c r="L247" s="27">
        <v>1600</v>
      </c>
      <c r="M247" s="92">
        <f t="shared" si="127"/>
        <v>2950</v>
      </c>
      <c r="N247" s="93">
        <f t="shared" si="130"/>
        <v>0</v>
      </c>
      <c r="O247" s="70">
        <f t="shared" si="128"/>
        <v>100</v>
      </c>
      <c r="P247" s="71">
        <f t="shared" si="116"/>
        <v>0</v>
      </c>
      <c r="Q247" s="35">
        <f t="shared" si="117"/>
        <v>0</v>
      </c>
      <c r="R247" s="72">
        <v>1103807</v>
      </c>
      <c r="S247" s="72">
        <f t="shared" si="118"/>
        <v>6968</v>
      </c>
      <c r="T247" s="62">
        <f t="shared" si="126"/>
        <v>6968</v>
      </c>
    </row>
    <row r="248" spans="1:20">
      <c r="A248" s="100"/>
      <c r="B248" s="9"/>
      <c r="C248" s="9"/>
      <c r="D248" s="69"/>
      <c r="E248" s="69">
        <v>165</v>
      </c>
      <c r="F248" s="3" t="s">
        <v>168</v>
      </c>
      <c r="G248" s="26">
        <v>50</v>
      </c>
      <c r="H248" s="26">
        <v>50</v>
      </c>
      <c r="I248" s="26">
        <v>50</v>
      </c>
      <c r="J248" s="105">
        <f t="shared" si="131"/>
        <v>50</v>
      </c>
      <c r="K248" s="35"/>
      <c r="L248" s="27">
        <v>50</v>
      </c>
      <c r="M248" s="92">
        <f t="shared" ref="M248:M249" si="132">K248+L248</f>
        <v>50</v>
      </c>
      <c r="N248" s="93">
        <f t="shared" ref="N248:N249" si="133">I248-M248</f>
        <v>0</v>
      </c>
      <c r="O248" s="70">
        <f t="shared" ref="O248:O249" si="134">M248/I248*100</f>
        <v>100</v>
      </c>
      <c r="P248" s="71">
        <f t="shared" ref="P248:P249" si="135">J248-M248</f>
        <v>0</v>
      </c>
      <c r="Q248" s="35">
        <f t="shared" ref="Q248:Q249" si="136">H248-J248</f>
        <v>0</v>
      </c>
      <c r="R248" s="72">
        <v>1103808</v>
      </c>
      <c r="S248" s="72">
        <f t="shared" ref="S248:S249" si="137">G248-M248</f>
        <v>0</v>
      </c>
    </row>
    <row r="249" spans="1:20">
      <c r="A249" s="100"/>
      <c r="B249" s="9"/>
      <c r="C249" s="9"/>
      <c r="D249" s="69"/>
      <c r="E249" s="69">
        <v>168</v>
      </c>
      <c r="F249" s="136" t="s">
        <v>167</v>
      </c>
      <c r="G249" s="26">
        <f>102+2</f>
        <v>104</v>
      </c>
      <c r="H249" s="26">
        <v>2</v>
      </c>
      <c r="I249" s="26">
        <v>2</v>
      </c>
      <c r="J249" s="105">
        <f t="shared" si="131"/>
        <v>1.966</v>
      </c>
      <c r="K249" s="35"/>
      <c r="L249" s="27">
        <v>1.966</v>
      </c>
      <c r="M249" s="92">
        <f t="shared" si="132"/>
        <v>1.966</v>
      </c>
      <c r="N249" s="93">
        <f t="shared" si="133"/>
        <v>3.400000000000003E-2</v>
      </c>
      <c r="O249" s="70">
        <f t="shared" si="134"/>
        <v>98.3</v>
      </c>
      <c r="P249" s="71">
        <f t="shared" si="135"/>
        <v>0</v>
      </c>
      <c r="Q249" s="35">
        <f t="shared" si="136"/>
        <v>3.400000000000003E-2</v>
      </c>
      <c r="R249" s="72">
        <v>1103809</v>
      </c>
      <c r="S249" s="72">
        <f t="shared" si="137"/>
        <v>102.03400000000001</v>
      </c>
    </row>
    <row r="250" spans="1:20">
      <c r="A250" s="100"/>
      <c r="B250" s="9"/>
      <c r="C250" s="9"/>
      <c r="D250" s="69"/>
      <c r="E250" s="69">
        <v>169</v>
      </c>
      <c r="F250" s="136" t="s">
        <v>103</v>
      </c>
      <c r="G250" s="26">
        <f>172-102-50</f>
        <v>20</v>
      </c>
      <c r="H250" s="26"/>
      <c r="I250" s="26"/>
      <c r="J250" s="105">
        <f t="shared" si="131"/>
        <v>0</v>
      </c>
      <c r="K250" s="35">
        <f>'1.04.'!M248</f>
        <v>0</v>
      </c>
      <c r="L250" s="27"/>
      <c r="M250" s="92">
        <f>K250+L250</f>
        <v>0</v>
      </c>
      <c r="N250" s="93">
        <f t="shared" si="130"/>
        <v>0</v>
      </c>
      <c r="O250" s="70" t="e">
        <f t="shared" si="128"/>
        <v>#DIV/0!</v>
      </c>
      <c r="P250" s="71">
        <f t="shared" si="116"/>
        <v>0</v>
      </c>
      <c r="Q250" s="35">
        <f t="shared" si="117"/>
        <v>0</v>
      </c>
      <c r="R250" s="72">
        <v>1103808</v>
      </c>
      <c r="S250" s="72">
        <f t="shared" si="118"/>
        <v>20</v>
      </c>
      <c r="T250" s="62">
        <f t="shared" si="126"/>
        <v>20</v>
      </c>
    </row>
    <row r="251" spans="1:20" ht="25.5">
      <c r="A251" s="100"/>
      <c r="B251" s="15"/>
      <c r="C251" s="57" t="s">
        <v>43</v>
      </c>
      <c r="D251" s="16"/>
      <c r="E251" s="20"/>
      <c r="F251" s="139" t="s">
        <v>119</v>
      </c>
      <c r="G251" s="59">
        <f t="shared" ref="G251:N251" si="138">G252</f>
        <v>3430</v>
      </c>
      <c r="H251" s="59">
        <f t="shared" si="138"/>
        <v>0</v>
      </c>
      <c r="I251" s="59">
        <f t="shared" si="138"/>
        <v>0</v>
      </c>
      <c r="J251" s="29">
        <f t="shared" si="138"/>
        <v>0</v>
      </c>
      <c r="K251" s="35">
        <f>'1.02.'!M238</f>
        <v>0</v>
      </c>
      <c r="L251" s="29">
        <f t="shared" si="138"/>
        <v>0</v>
      </c>
      <c r="M251" s="29">
        <f t="shared" si="138"/>
        <v>0</v>
      </c>
      <c r="N251" s="29">
        <f t="shared" si="138"/>
        <v>0</v>
      </c>
      <c r="O251" s="70"/>
      <c r="P251" s="71">
        <f t="shared" si="116"/>
        <v>0</v>
      </c>
      <c r="Q251" s="35">
        <f t="shared" si="117"/>
        <v>0</v>
      </c>
      <c r="R251" s="72">
        <v>1103809</v>
      </c>
      <c r="S251" s="72">
        <f t="shared" si="118"/>
        <v>3430</v>
      </c>
    </row>
    <row r="252" spans="1:20">
      <c r="A252" s="9"/>
      <c r="B252" s="12"/>
      <c r="C252" s="12"/>
      <c r="D252" s="11" t="s">
        <v>7</v>
      </c>
      <c r="E252" s="97"/>
      <c r="F252" s="122" t="s">
        <v>85</v>
      </c>
      <c r="G252" s="98">
        <f>G253+G254</f>
        <v>3430</v>
      </c>
      <c r="H252" s="98">
        <f t="shared" ref="H252:N252" si="139">H253+H254</f>
        <v>0</v>
      </c>
      <c r="I252" s="98">
        <f t="shared" si="139"/>
        <v>0</v>
      </c>
      <c r="J252" s="98">
        <f t="shared" si="139"/>
        <v>0</v>
      </c>
      <c r="K252" s="35">
        <f>'1.02.'!M239</f>
        <v>0</v>
      </c>
      <c r="L252" s="32">
        <f t="shared" si="139"/>
        <v>0</v>
      </c>
      <c r="M252" s="32">
        <f t="shared" si="139"/>
        <v>0</v>
      </c>
      <c r="N252" s="32">
        <f t="shared" si="139"/>
        <v>0</v>
      </c>
      <c r="O252" s="68" t="e">
        <f>M252/I252*100</f>
        <v>#DIV/0!</v>
      </c>
      <c r="P252" s="71">
        <f t="shared" si="116"/>
        <v>0</v>
      </c>
      <c r="Q252" s="35">
        <f t="shared" si="117"/>
        <v>0</v>
      </c>
      <c r="R252" s="72">
        <v>1103810</v>
      </c>
      <c r="S252" s="72">
        <f t="shared" si="118"/>
        <v>3430</v>
      </c>
      <c r="T252" s="62">
        <f>G252-J252</f>
        <v>3430</v>
      </c>
    </row>
    <row r="253" spans="1:20" ht="25.5">
      <c r="A253" s="100"/>
      <c r="B253" s="15"/>
      <c r="C253" s="15"/>
      <c r="D253" s="16"/>
      <c r="E253" s="20">
        <v>414</v>
      </c>
      <c r="F253" s="50" t="s">
        <v>105</v>
      </c>
      <c r="G253" s="37">
        <v>3430</v>
      </c>
      <c r="H253" s="37"/>
      <c r="I253" s="37"/>
      <c r="J253" s="75">
        <f>M253</f>
        <v>0</v>
      </c>
      <c r="K253" s="35">
        <f>'1.02.'!M240</f>
        <v>0</v>
      </c>
      <c r="L253" s="35"/>
      <c r="M253" s="93">
        <f>K253+L253</f>
        <v>0</v>
      </c>
      <c r="N253" s="93">
        <f t="shared" ref="N253:N254" si="140">I253-M253</f>
        <v>0</v>
      </c>
      <c r="O253" s="70" t="e">
        <f t="shared" ref="O253:O254" si="141">M253/I253*100</f>
        <v>#DIV/0!</v>
      </c>
      <c r="P253" s="71">
        <f t="shared" si="116"/>
        <v>0</v>
      </c>
      <c r="Q253" s="35">
        <f t="shared" si="117"/>
        <v>0</v>
      </c>
      <c r="R253" s="72">
        <v>1103811</v>
      </c>
      <c r="S253" s="72">
        <f t="shared" si="118"/>
        <v>3430</v>
      </c>
    </row>
    <row r="254" spans="1:20" hidden="1">
      <c r="A254" s="100"/>
      <c r="B254" s="15"/>
      <c r="C254" s="15"/>
      <c r="D254" s="16"/>
      <c r="E254" s="20">
        <v>419</v>
      </c>
      <c r="F254" s="3" t="s">
        <v>57</v>
      </c>
      <c r="G254" s="37"/>
      <c r="H254" s="37"/>
      <c r="I254" s="37"/>
      <c r="J254" s="75">
        <f>M254</f>
        <v>0</v>
      </c>
      <c r="K254" s="35">
        <f>'1.02.'!M241</f>
        <v>0</v>
      </c>
      <c r="L254" s="35"/>
      <c r="M254" s="92">
        <f>K254+L254</f>
        <v>0</v>
      </c>
      <c r="N254" s="93">
        <f t="shared" si="140"/>
        <v>0</v>
      </c>
      <c r="O254" s="70" t="e">
        <f t="shared" si="141"/>
        <v>#DIV/0!</v>
      </c>
      <c r="P254" s="71">
        <f t="shared" si="116"/>
        <v>0</v>
      </c>
      <c r="Q254" s="35">
        <f t="shared" si="117"/>
        <v>0</v>
      </c>
      <c r="R254" s="72">
        <v>1103812</v>
      </c>
      <c r="S254" s="72">
        <f t="shared" si="118"/>
        <v>0</v>
      </c>
    </row>
    <row r="255" spans="1:20" s="73" customFormat="1">
      <c r="A255" s="103"/>
      <c r="B255" s="8"/>
      <c r="C255" s="17" t="s">
        <v>30</v>
      </c>
      <c r="D255" s="21"/>
      <c r="E255" s="21"/>
      <c r="F255" s="139" t="s">
        <v>129</v>
      </c>
      <c r="G255" s="23">
        <f>G256+G258+G261</f>
        <v>6848792</v>
      </c>
      <c r="H255" s="23">
        <f>H256+H258+H261</f>
        <v>876859.70000000007</v>
      </c>
      <c r="I255" s="23">
        <f t="shared" ref="I255:N255" si="142">I256+I258+I261</f>
        <v>864859.70000000007</v>
      </c>
      <c r="J255" s="23">
        <f t="shared" si="142"/>
        <v>864859.69903000002</v>
      </c>
      <c r="K255" s="24">
        <f t="shared" si="142"/>
        <v>551483.47903000005</v>
      </c>
      <c r="L255" s="24">
        <f t="shared" si="142"/>
        <v>313376.21999999997</v>
      </c>
      <c r="M255" s="24">
        <f t="shared" si="142"/>
        <v>864859.69903000002</v>
      </c>
      <c r="N255" s="24">
        <f t="shared" si="142"/>
        <v>9.7000005189329386E-4</v>
      </c>
      <c r="O255" s="68">
        <f>M255/I255*100</f>
        <v>99.999999887843074</v>
      </c>
      <c r="P255" s="71">
        <f t="shared" si="116"/>
        <v>0</v>
      </c>
      <c r="Q255" s="35">
        <f t="shared" si="117"/>
        <v>12000.000970000052</v>
      </c>
      <c r="R255" s="72">
        <v>1103813</v>
      </c>
      <c r="S255" s="72">
        <f t="shared" si="118"/>
        <v>5983932.3009700002</v>
      </c>
      <c r="T255" s="62">
        <f t="shared" ref="T255:T281" si="143">G255-J255</f>
        <v>5983932.3009700002</v>
      </c>
    </row>
    <row r="256" spans="1:20">
      <c r="A256" s="100"/>
      <c r="B256" s="8"/>
      <c r="C256" s="8"/>
      <c r="D256" s="17" t="s">
        <v>31</v>
      </c>
      <c r="E256" s="10"/>
      <c r="F256" s="140" t="s">
        <v>130</v>
      </c>
      <c r="G256" s="59">
        <f>G257</f>
        <v>2827602</v>
      </c>
      <c r="H256" s="59">
        <f t="shared" ref="H256:N256" si="144">H257</f>
        <v>231630</v>
      </c>
      <c r="I256" s="59">
        <f t="shared" si="144"/>
        <v>231630</v>
      </c>
      <c r="J256" s="59">
        <f t="shared" si="144"/>
        <v>231630</v>
      </c>
      <c r="K256" s="29">
        <f t="shared" si="144"/>
        <v>129829</v>
      </c>
      <c r="L256" s="29">
        <f t="shared" si="144"/>
        <v>101801</v>
      </c>
      <c r="M256" s="29">
        <f t="shared" si="144"/>
        <v>231630</v>
      </c>
      <c r="N256" s="33">
        <f t="shared" si="144"/>
        <v>0</v>
      </c>
      <c r="O256" s="68">
        <f t="shared" ref="O256:O272" si="145">M256/I256*100</f>
        <v>100</v>
      </c>
      <c r="P256" s="71">
        <f t="shared" si="116"/>
        <v>0</v>
      </c>
      <c r="Q256" s="35">
        <f t="shared" si="117"/>
        <v>0</v>
      </c>
      <c r="R256" s="72">
        <v>1103814</v>
      </c>
      <c r="S256" s="72">
        <f t="shared" si="118"/>
        <v>2595972</v>
      </c>
      <c r="T256" s="62">
        <f t="shared" si="143"/>
        <v>2595972</v>
      </c>
    </row>
    <row r="257" spans="1:20">
      <c r="A257" s="100"/>
      <c r="B257" s="9"/>
      <c r="C257" s="9"/>
      <c r="D257" s="69"/>
      <c r="E257" s="69">
        <v>159</v>
      </c>
      <c r="F257" s="136" t="s">
        <v>84</v>
      </c>
      <c r="G257" s="26">
        <f>3730007-768592-133813</f>
        <v>2827602</v>
      </c>
      <c r="H257" s="26">
        <v>231630</v>
      </c>
      <c r="I257" s="26">
        <v>231630</v>
      </c>
      <c r="J257" s="105">
        <f>M257</f>
        <v>231630</v>
      </c>
      <c r="K257" s="35">
        <f>'1.04.'!M255</f>
        <v>129829</v>
      </c>
      <c r="L257" s="27">
        <v>101801</v>
      </c>
      <c r="M257" s="92">
        <f t="shared" si="127"/>
        <v>231630</v>
      </c>
      <c r="N257" s="93">
        <f t="shared" ref="N257" si="146">I257-M257</f>
        <v>0</v>
      </c>
      <c r="O257" s="70">
        <f t="shared" si="145"/>
        <v>100</v>
      </c>
      <c r="P257" s="71">
        <f t="shared" si="116"/>
        <v>0</v>
      </c>
      <c r="Q257" s="35">
        <f t="shared" si="117"/>
        <v>0</v>
      </c>
      <c r="R257" s="72">
        <v>1103815</v>
      </c>
      <c r="S257" s="72">
        <f t="shared" si="118"/>
        <v>2595972</v>
      </c>
      <c r="T257" s="62">
        <f t="shared" si="143"/>
        <v>2595972</v>
      </c>
    </row>
    <row r="258" spans="1:20">
      <c r="A258" s="100"/>
      <c r="B258" s="8"/>
      <c r="C258" s="8"/>
      <c r="D258" s="17" t="s">
        <v>32</v>
      </c>
      <c r="E258" s="10"/>
      <c r="F258" s="140" t="s">
        <v>131</v>
      </c>
      <c r="G258" s="59">
        <f>G259+G260</f>
        <v>77035</v>
      </c>
      <c r="H258" s="59">
        <f t="shared" ref="H258:N258" si="147">H259+H260</f>
        <v>12000</v>
      </c>
      <c r="I258" s="59">
        <f t="shared" si="147"/>
        <v>0</v>
      </c>
      <c r="J258" s="59">
        <f t="shared" si="147"/>
        <v>0</v>
      </c>
      <c r="K258" s="59">
        <f t="shared" si="147"/>
        <v>0</v>
      </c>
      <c r="L258" s="59">
        <f t="shared" si="147"/>
        <v>0</v>
      </c>
      <c r="M258" s="59">
        <f t="shared" si="147"/>
        <v>0</v>
      </c>
      <c r="N258" s="59">
        <f t="shared" si="147"/>
        <v>0</v>
      </c>
      <c r="O258" s="68" t="e">
        <f t="shared" ref="O258" si="148">O259</f>
        <v>#DIV/0!</v>
      </c>
      <c r="P258" s="71">
        <f t="shared" si="116"/>
        <v>0</v>
      </c>
      <c r="Q258" s="35">
        <f t="shared" si="117"/>
        <v>12000</v>
      </c>
      <c r="R258" s="72">
        <v>1103816</v>
      </c>
      <c r="S258" s="72">
        <f t="shared" si="118"/>
        <v>77035</v>
      </c>
      <c r="T258" s="62">
        <f t="shared" si="143"/>
        <v>77035</v>
      </c>
    </row>
    <row r="259" spans="1:20">
      <c r="A259" s="100"/>
      <c r="B259" s="9"/>
      <c r="C259" s="9"/>
      <c r="D259" s="69"/>
      <c r="E259" s="69">
        <v>159</v>
      </c>
      <c r="F259" s="136" t="s">
        <v>84</v>
      </c>
      <c r="G259" s="26">
        <f>32846+12909</f>
        <v>45755</v>
      </c>
      <c r="H259" s="26">
        <v>12000</v>
      </c>
      <c r="I259" s="26"/>
      <c r="J259" s="105">
        <f>M259</f>
        <v>0</v>
      </c>
      <c r="K259" s="35">
        <f>'1.04.'!M257</f>
        <v>0</v>
      </c>
      <c r="L259" s="27"/>
      <c r="M259" s="92">
        <f t="shared" si="127"/>
        <v>0</v>
      </c>
      <c r="N259" s="93">
        <f>I259-M259</f>
        <v>0</v>
      </c>
      <c r="O259" s="70" t="e">
        <f t="shared" si="145"/>
        <v>#DIV/0!</v>
      </c>
      <c r="P259" s="71">
        <f t="shared" si="116"/>
        <v>0</v>
      </c>
      <c r="Q259" s="35">
        <f t="shared" si="117"/>
        <v>12000</v>
      </c>
      <c r="R259" s="72">
        <v>1103817</v>
      </c>
      <c r="S259" s="72">
        <f t="shared" si="118"/>
        <v>45755</v>
      </c>
      <c r="T259" s="62">
        <f t="shared" si="143"/>
        <v>45755</v>
      </c>
    </row>
    <row r="260" spans="1:20">
      <c r="A260" s="100"/>
      <c r="B260" s="9"/>
      <c r="C260" s="9"/>
      <c r="D260" s="69"/>
      <c r="E260" s="69">
        <v>322</v>
      </c>
      <c r="F260" s="133" t="s">
        <v>82</v>
      </c>
      <c r="G260" s="26">
        <v>31280</v>
      </c>
      <c r="H260" s="26"/>
      <c r="I260" s="26"/>
      <c r="J260" s="105">
        <f>M260</f>
        <v>0</v>
      </c>
      <c r="K260" s="35">
        <f>'1.04.'!M258</f>
        <v>0</v>
      </c>
      <c r="L260" s="27"/>
      <c r="M260" s="92">
        <f t="shared" si="127"/>
        <v>0</v>
      </c>
      <c r="N260" s="93">
        <f>I260-M260</f>
        <v>0</v>
      </c>
      <c r="O260" s="70" t="e">
        <f t="shared" si="145"/>
        <v>#DIV/0!</v>
      </c>
      <c r="P260" s="71">
        <f t="shared" si="116"/>
        <v>0</v>
      </c>
      <c r="Q260" s="35">
        <f t="shared" si="117"/>
        <v>0</v>
      </c>
      <c r="R260" s="72">
        <v>1103818</v>
      </c>
      <c r="S260" s="72">
        <f t="shared" si="118"/>
        <v>31280</v>
      </c>
    </row>
    <row r="261" spans="1:20" ht="25.5">
      <c r="A261" s="100"/>
      <c r="B261" s="8"/>
      <c r="C261" s="8"/>
      <c r="D261" s="17" t="s">
        <v>33</v>
      </c>
      <c r="E261" s="10"/>
      <c r="F261" s="140" t="s">
        <v>132</v>
      </c>
      <c r="G261" s="59">
        <f>G262+G270+G271+G272</f>
        <v>3944155</v>
      </c>
      <c r="H261" s="59">
        <f t="shared" ref="H261:N261" si="149">H262+H270+H271+H272</f>
        <v>633229.70000000007</v>
      </c>
      <c r="I261" s="59">
        <f t="shared" si="149"/>
        <v>633229.70000000007</v>
      </c>
      <c r="J261" s="29">
        <f t="shared" si="149"/>
        <v>633229.69903000002</v>
      </c>
      <c r="K261" s="59">
        <f>K262+K270+K271+K272</f>
        <v>421654.47902999999</v>
      </c>
      <c r="L261" s="29">
        <f t="shared" si="149"/>
        <v>211575.22</v>
      </c>
      <c r="M261" s="29">
        <f t="shared" si="149"/>
        <v>633229.69903000002</v>
      </c>
      <c r="N261" s="29">
        <f t="shared" si="149"/>
        <v>9.7000005189329386E-4</v>
      </c>
      <c r="O261" s="68">
        <f>M261/I261*100</f>
        <v>99.999999846817033</v>
      </c>
      <c r="P261" s="71">
        <f t="shared" si="116"/>
        <v>0</v>
      </c>
      <c r="Q261" s="35">
        <f t="shared" si="117"/>
        <v>9.7000005189329386E-4</v>
      </c>
      <c r="R261" s="72">
        <v>1103819</v>
      </c>
      <c r="S261" s="72">
        <f t="shared" si="118"/>
        <v>3310925.3009700002</v>
      </c>
      <c r="T261" s="62">
        <f t="shared" si="143"/>
        <v>3310925.3009700002</v>
      </c>
    </row>
    <row r="262" spans="1:20">
      <c r="A262" s="100"/>
      <c r="B262" s="9"/>
      <c r="C262" s="9"/>
      <c r="D262" s="69"/>
      <c r="E262" s="69">
        <v>159</v>
      </c>
      <c r="F262" s="141" t="s">
        <v>84</v>
      </c>
      <c r="G262" s="26">
        <f>SUM(G263:G269)</f>
        <v>3138252</v>
      </c>
      <c r="H262" s="26">
        <f>SUM(H263:H269)</f>
        <v>612841.70000000007</v>
      </c>
      <c r="I262" s="26">
        <f t="shared" ref="I262:N262" si="150">SUM(I263:I269)</f>
        <v>612841.70000000007</v>
      </c>
      <c r="J262" s="26">
        <f t="shared" si="150"/>
        <v>612841.69903000002</v>
      </c>
      <c r="K262" s="26">
        <f t="shared" si="150"/>
        <v>418154.99903000001</v>
      </c>
      <c r="L262" s="27">
        <f t="shared" si="150"/>
        <v>194686.7</v>
      </c>
      <c r="M262" s="26">
        <f t="shared" si="150"/>
        <v>612841.69903000002</v>
      </c>
      <c r="N262" s="27">
        <f t="shared" si="150"/>
        <v>9.7000005189329386E-4</v>
      </c>
      <c r="O262" s="70">
        <f t="shared" si="145"/>
        <v>99.99999984172095</v>
      </c>
      <c r="P262" s="71">
        <f t="shared" si="116"/>
        <v>0</v>
      </c>
      <c r="Q262" s="35">
        <f t="shared" si="117"/>
        <v>9.7000005189329386E-4</v>
      </c>
      <c r="R262" s="72">
        <v>1103820</v>
      </c>
      <c r="S262" s="72">
        <f t="shared" si="118"/>
        <v>2525410.3009700002</v>
      </c>
      <c r="T262" s="62">
        <f t="shared" si="143"/>
        <v>2525410.3009700002</v>
      </c>
    </row>
    <row r="263" spans="1:20">
      <c r="A263" s="100"/>
      <c r="B263" s="9"/>
      <c r="C263" s="9"/>
      <c r="D263" s="69"/>
      <c r="E263" s="69"/>
      <c r="F263" s="55" t="s">
        <v>49</v>
      </c>
      <c r="G263" s="26">
        <v>1124154</v>
      </c>
      <c r="H263" s="61">
        <f>2050+93053-1993.6+82986.9+75619.1</f>
        <v>251715.4</v>
      </c>
      <c r="I263" s="61">
        <f>H263</f>
        <v>251715.4</v>
      </c>
      <c r="J263" s="105">
        <f>M263</f>
        <v>251715.4</v>
      </c>
      <c r="K263" s="35">
        <f>'1.04.'!M261</f>
        <v>176096.3</v>
      </c>
      <c r="L263" s="61">
        <v>75619.100000000006</v>
      </c>
      <c r="M263" s="92">
        <f>K263+L263</f>
        <v>251715.4</v>
      </c>
      <c r="N263" s="93">
        <f t="shared" ref="N263:N269" si="151">I263-M263</f>
        <v>0</v>
      </c>
      <c r="O263" s="70">
        <f t="shared" si="145"/>
        <v>100</v>
      </c>
      <c r="P263" s="71">
        <f t="shared" si="116"/>
        <v>0</v>
      </c>
      <c r="Q263" s="35">
        <f t="shared" si="117"/>
        <v>0</v>
      </c>
      <c r="R263" s="72">
        <v>1103821</v>
      </c>
      <c r="S263" s="72">
        <f t="shared" si="118"/>
        <v>872438.6</v>
      </c>
    </row>
    <row r="264" spans="1:20">
      <c r="A264" s="100"/>
      <c r="B264" s="9"/>
      <c r="C264" s="9"/>
      <c r="D264" s="69"/>
      <c r="E264" s="69"/>
      <c r="F264" s="55" t="s">
        <v>50</v>
      </c>
      <c r="G264" s="26">
        <v>130399</v>
      </c>
      <c r="H264" s="61">
        <f>26080-3722.9+19165.6+15755.3</f>
        <v>57278</v>
      </c>
      <c r="I264" s="61">
        <f t="shared" ref="I264:I269" si="152">H264</f>
        <v>57278</v>
      </c>
      <c r="J264" s="105">
        <f t="shared" ref="J264:J270" si="153">M264</f>
        <v>57278</v>
      </c>
      <c r="K264" s="35">
        <f>'1.04.'!M262</f>
        <v>41522.699999999997</v>
      </c>
      <c r="L264" s="61">
        <v>15755.3</v>
      </c>
      <c r="M264" s="92">
        <f t="shared" ref="M264:M269" si="154">K264+L264</f>
        <v>57278</v>
      </c>
      <c r="N264" s="93">
        <f t="shared" si="151"/>
        <v>0</v>
      </c>
      <c r="O264" s="70">
        <f t="shared" si="145"/>
        <v>100</v>
      </c>
      <c r="P264" s="71">
        <f t="shared" si="116"/>
        <v>0</v>
      </c>
      <c r="Q264" s="35">
        <f t="shared" si="117"/>
        <v>0</v>
      </c>
      <c r="R264" s="72">
        <v>1103822</v>
      </c>
      <c r="S264" s="72">
        <f t="shared" si="118"/>
        <v>73121</v>
      </c>
    </row>
    <row r="265" spans="1:20">
      <c r="A265" s="100"/>
      <c r="B265" s="9"/>
      <c r="C265" s="9"/>
      <c r="D265" s="69"/>
      <c r="E265" s="69"/>
      <c r="F265" s="55" t="s">
        <v>51</v>
      </c>
      <c r="G265" s="26"/>
      <c r="H265" s="61"/>
      <c r="I265" s="61">
        <f t="shared" si="152"/>
        <v>0</v>
      </c>
      <c r="J265" s="105">
        <f t="shared" si="153"/>
        <v>0</v>
      </c>
      <c r="K265" s="35">
        <f>'1.04.'!M263</f>
        <v>0</v>
      </c>
      <c r="L265" s="61"/>
      <c r="M265" s="92">
        <f t="shared" si="154"/>
        <v>0</v>
      </c>
      <c r="N265" s="93">
        <f t="shared" si="151"/>
        <v>0</v>
      </c>
      <c r="O265" s="70" t="e">
        <f t="shared" si="145"/>
        <v>#DIV/0!</v>
      </c>
      <c r="P265" s="71">
        <f t="shared" si="116"/>
        <v>0</v>
      </c>
      <c r="Q265" s="35">
        <f t="shared" si="117"/>
        <v>0</v>
      </c>
      <c r="R265" s="72">
        <v>1103823</v>
      </c>
      <c r="S265" s="72">
        <f t="shared" si="118"/>
        <v>0</v>
      </c>
    </row>
    <row r="266" spans="1:20">
      <c r="A266" s="100"/>
      <c r="B266" s="9"/>
      <c r="C266" s="9"/>
      <c r="D266" s="69"/>
      <c r="E266" s="69"/>
      <c r="F266" s="55" t="s">
        <v>52</v>
      </c>
      <c r="G266" s="26"/>
      <c r="H266" s="61"/>
      <c r="I266" s="61">
        <f t="shared" si="152"/>
        <v>0</v>
      </c>
      <c r="J266" s="105">
        <f t="shared" si="153"/>
        <v>0</v>
      </c>
      <c r="K266" s="35">
        <f>'1.04.'!M264</f>
        <v>0</v>
      </c>
      <c r="L266" s="61"/>
      <c r="M266" s="92">
        <f t="shared" si="154"/>
        <v>0</v>
      </c>
      <c r="N266" s="93">
        <f t="shared" si="151"/>
        <v>0</v>
      </c>
      <c r="O266" s="70" t="e">
        <f t="shared" si="145"/>
        <v>#DIV/0!</v>
      </c>
      <c r="P266" s="71">
        <f t="shared" si="116"/>
        <v>0</v>
      </c>
      <c r="Q266" s="35">
        <f t="shared" si="117"/>
        <v>0</v>
      </c>
      <c r="R266" s="72">
        <v>1103824</v>
      </c>
      <c r="S266" s="72">
        <f t="shared" si="118"/>
        <v>0</v>
      </c>
    </row>
    <row r="267" spans="1:20">
      <c r="A267" s="100"/>
      <c r="B267" s="9"/>
      <c r="C267" s="9"/>
      <c r="D267" s="69"/>
      <c r="E267" s="69"/>
      <c r="F267" s="55" t="s">
        <v>53</v>
      </c>
      <c r="G267" s="26">
        <v>236664</v>
      </c>
      <c r="H267" s="61">
        <f>2906-1667.6+4700+5843.7</f>
        <v>11782.099999999999</v>
      </c>
      <c r="I267" s="61">
        <f t="shared" si="152"/>
        <v>11782.099999999999</v>
      </c>
      <c r="J267" s="105">
        <f t="shared" si="153"/>
        <v>11782.099999999999</v>
      </c>
      <c r="K267" s="35">
        <f>'1.04.'!M265</f>
        <v>5938.4</v>
      </c>
      <c r="L267" s="61">
        <v>5843.7</v>
      </c>
      <c r="M267" s="92">
        <f t="shared" si="154"/>
        <v>11782.099999999999</v>
      </c>
      <c r="N267" s="93">
        <f t="shared" si="151"/>
        <v>0</v>
      </c>
      <c r="O267" s="70">
        <f t="shared" si="145"/>
        <v>100</v>
      </c>
      <c r="P267" s="71">
        <f t="shared" si="116"/>
        <v>0</v>
      </c>
      <c r="Q267" s="35">
        <f t="shared" si="117"/>
        <v>0</v>
      </c>
      <c r="R267" s="72">
        <v>1103825</v>
      </c>
      <c r="S267" s="72">
        <f t="shared" si="118"/>
        <v>224881.9</v>
      </c>
    </row>
    <row r="268" spans="1:20">
      <c r="A268" s="100"/>
      <c r="B268" s="9"/>
      <c r="C268" s="9"/>
      <c r="D268" s="69"/>
      <c r="E268" s="69"/>
      <c r="F268" s="55" t="s">
        <v>54</v>
      </c>
      <c r="G268" s="26">
        <v>27612</v>
      </c>
      <c r="H268" s="61">
        <f>2111-228.7+1923.4+1926.2</f>
        <v>5731.9</v>
      </c>
      <c r="I268" s="61">
        <f t="shared" si="152"/>
        <v>5731.9</v>
      </c>
      <c r="J268" s="105">
        <f t="shared" si="153"/>
        <v>5731.9</v>
      </c>
      <c r="K268" s="35">
        <f>'1.04.'!M266</f>
        <v>3805.7</v>
      </c>
      <c r="L268" s="61">
        <v>1926.2</v>
      </c>
      <c r="M268" s="92">
        <f t="shared" si="154"/>
        <v>5731.9</v>
      </c>
      <c r="N268" s="93">
        <f t="shared" si="151"/>
        <v>0</v>
      </c>
      <c r="O268" s="70">
        <f t="shared" si="145"/>
        <v>100</v>
      </c>
      <c r="P268" s="71">
        <f t="shared" si="116"/>
        <v>0</v>
      </c>
      <c r="Q268" s="35">
        <f t="shared" si="117"/>
        <v>0</v>
      </c>
      <c r="R268" s="72">
        <v>1103826</v>
      </c>
      <c r="S268" s="72">
        <f t="shared" si="118"/>
        <v>21880.1</v>
      </c>
    </row>
    <row r="269" spans="1:20">
      <c r="A269" s="100"/>
      <c r="B269" s="9"/>
      <c r="C269" s="9"/>
      <c r="D269" s="69"/>
      <c r="E269" s="69"/>
      <c r="F269" s="55" t="s">
        <v>55</v>
      </c>
      <c r="G269" s="26">
        <f>1186640+432783</f>
        <v>1619423</v>
      </c>
      <c r="H269" s="61">
        <f>101338-7295.2+96749.1+95542.4</f>
        <v>286334.30000000005</v>
      </c>
      <c r="I269" s="61">
        <f t="shared" si="152"/>
        <v>286334.30000000005</v>
      </c>
      <c r="J269" s="105">
        <f t="shared" si="153"/>
        <v>286334.29902999999</v>
      </c>
      <c r="K269" s="35">
        <f>'1.04.'!M267</f>
        <v>190791.89903</v>
      </c>
      <c r="L269" s="61">
        <v>95542.399999999994</v>
      </c>
      <c r="M269" s="92">
        <f t="shared" si="154"/>
        <v>286334.29902999999</v>
      </c>
      <c r="N269" s="93">
        <f t="shared" si="151"/>
        <v>9.7000005189329386E-4</v>
      </c>
      <c r="O269" s="70">
        <f t="shared" si="145"/>
        <v>99.999999661235123</v>
      </c>
      <c r="P269" s="71">
        <f t="shared" si="116"/>
        <v>0</v>
      </c>
      <c r="Q269" s="35">
        <f t="shared" si="117"/>
        <v>9.7000005189329386E-4</v>
      </c>
      <c r="R269" s="72">
        <v>1103827</v>
      </c>
      <c r="S269" s="72">
        <f t="shared" si="118"/>
        <v>1333088.7009700001</v>
      </c>
    </row>
    <row r="270" spans="1:20">
      <c r="A270" s="100"/>
      <c r="B270" s="9"/>
      <c r="C270" s="9"/>
      <c r="D270" s="69"/>
      <c r="E270" s="69">
        <v>169</v>
      </c>
      <c r="F270" s="136" t="s">
        <v>103</v>
      </c>
      <c r="G270" s="26">
        <f>503430+67470</f>
        <v>570900</v>
      </c>
      <c r="H270" s="26"/>
      <c r="I270" s="26"/>
      <c r="J270" s="105">
        <f t="shared" si="153"/>
        <v>0</v>
      </c>
      <c r="K270" s="35">
        <f>'1.04.'!M268</f>
        <v>0</v>
      </c>
      <c r="L270" s="27"/>
      <c r="M270" s="92">
        <f>K270+L270</f>
        <v>0</v>
      </c>
      <c r="N270" s="93">
        <f>I270-M270</f>
        <v>0</v>
      </c>
      <c r="O270" s="70" t="e">
        <f t="shared" si="145"/>
        <v>#DIV/0!</v>
      </c>
      <c r="P270" s="71">
        <f t="shared" si="116"/>
        <v>0</v>
      </c>
      <c r="Q270" s="35">
        <f t="shared" si="117"/>
        <v>0</v>
      </c>
      <c r="R270" s="72">
        <v>1103828</v>
      </c>
      <c r="S270" s="72">
        <f t="shared" si="118"/>
        <v>570900</v>
      </c>
      <c r="T270" s="62">
        <f t="shared" si="143"/>
        <v>570900</v>
      </c>
    </row>
    <row r="271" spans="1:20" ht="25.5">
      <c r="A271" s="100"/>
      <c r="B271" s="9"/>
      <c r="C271" s="9"/>
      <c r="D271" s="69"/>
      <c r="E271" s="69">
        <v>311</v>
      </c>
      <c r="F271" s="3" t="s">
        <v>133</v>
      </c>
      <c r="G271" s="26"/>
      <c r="H271" s="26"/>
      <c r="I271" s="26"/>
      <c r="J271" s="105">
        <f>M271</f>
        <v>0</v>
      </c>
      <c r="K271" s="35">
        <f>'1.04.'!M269</f>
        <v>0</v>
      </c>
      <c r="L271" s="27"/>
      <c r="M271" s="92">
        <f>K271+L271</f>
        <v>0</v>
      </c>
      <c r="N271" s="93">
        <f>I271-M271</f>
        <v>0</v>
      </c>
      <c r="O271" s="70" t="e">
        <f t="shared" si="145"/>
        <v>#DIV/0!</v>
      </c>
      <c r="P271" s="71">
        <f t="shared" si="116"/>
        <v>0</v>
      </c>
      <c r="Q271" s="35">
        <f t="shared" si="117"/>
        <v>0</v>
      </c>
      <c r="R271" s="72">
        <v>1103829</v>
      </c>
      <c r="S271" s="72">
        <f t="shared" si="118"/>
        <v>0</v>
      </c>
    </row>
    <row r="272" spans="1:20">
      <c r="A272" s="100"/>
      <c r="B272" s="9"/>
      <c r="C272" s="9"/>
      <c r="D272" s="69"/>
      <c r="E272" s="69">
        <v>313</v>
      </c>
      <c r="F272" s="3" t="s">
        <v>165</v>
      </c>
      <c r="G272" s="26">
        <f>10853+224150</f>
        <v>235003</v>
      </c>
      <c r="H272" s="26">
        <v>20388</v>
      </c>
      <c r="I272" s="26">
        <v>20388</v>
      </c>
      <c r="J272" s="105">
        <f>M272</f>
        <v>20388</v>
      </c>
      <c r="K272" s="35">
        <f>'1.04.'!M270</f>
        <v>3499.48</v>
      </c>
      <c r="L272" s="27">
        <v>16888.52</v>
      </c>
      <c r="M272" s="92">
        <f>K272+L272</f>
        <v>20388</v>
      </c>
      <c r="N272" s="93">
        <f>I272-M272</f>
        <v>0</v>
      </c>
      <c r="O272" s="70">
        <f t="shared" si="145"/>
        <v>100</v>
      </c>
      <c r="P272" s="71">
        <f t="shared" si="116"/>
        <v>0</v>
      </c>
      <c r="Q272" s="35">
        <f t="shared" si="117"/>
        <v>0</v>
      </c>
      <c r="R272" s="72">
        <v>1103829</v>
      </c>
      <c r="S272" s="72">
        <f t="shared" si="118"/>
        <v>214615</v>
      </c>
    </row>
    <row r="273" spans="1:20" s="73" customFormat="1" ht="38.25">
      <c r="A273" s="103"/>
      <c r="B273" s="8"/>
      <c r="C273" s="17" t="s">
        <v>34</v>
      </c>
      <c r="D273" s="21"/>
      <c r="E273" s="21"/>
      <c r="F273" s="125" t="s">
        <v>134</v>
      </c>
      <c r="G273" s="23">
        <f>G274</f>
        <v>10428</v>
      </c>
      <c r="H273" s="23">
        <f t="shared" ref="H273:O273" si="155">H274</f>
        <v>1298</v>
      </c>
      <c r="I273" s="23">
        <f t="shared" si="155"/>
        <v>1298</v>
      </c>
      <c r="J273" s="38">
        <f t="shared" si="155"/>
        <v>1297.5</v>
      </c>
      <c r="K273" s="38">
        <f t="shared" si="155"/>
        <v>0</v>
      </c>
      <c r="L273" s="23">
        <f t="shared" si="155"/>
        <v>1297.5</v>
      </c>
      <c r="M273" s="24">
        <f t="shared" si="155"/>
        <v>1297.5</v>
      </c>
      <c r="N273" s="23">
        <f t="shared" si="155"/>
        <v>0.5</v>
      </c>
      <c r="O273" s="39">
        <f t="shared" si="155"/>
        <v>99.961479198767336</v>
      </c>
      <c r="P273" s="71">
        <f t="shared" si="116"/>
        <v>0</v>
      </c>
      <c r="Q273" s="35">
        <f t="shared" si="117"/>
        <v>0.5</v>
      </c>
      <c r="R273" s="72">
        <v>1103830</v>
      </c>
      <c r="S273" s="72">
        <f t="shared" si="118"/>
        <v>9130.5</v>
      </c>
      <c r="T273" s="62">
        <f t="shared" si="143"/>
        <v>9130.5</v>
      </c>
    </row>
    <row r="274" spans="1:20">
      <c r="A274" s="100"/>
      <c r="B274" s="8"/>
      <c r="C274" s="8"/>
      <c r="D274" s="17" t="s">
        <v>7</v>
      </c>
      <c r="E274" s="10"/>
      <c r="F274" s="135" t="s">
        <v>85</v>
      </c>
      <c r="G274" s="59">
        <f>G275+G276</f>
        <v>10428</v>
      </c>
      <c r="H274" s="59">
        <f t="shared" ref="H274:N274" si="156">H275+H276</f>
        <v>1298</v>
      </c>
      <c r="I274" s="59">
        <f t="shared" si="156"/>
        <v>1298</v>
      </c>
      <c r="J274" s="59">
        <f t="shared" si="156"/>
        <v>1297.5</v>
      </c>
      <c r="K274" s="59">
        <f t="shared" si="156"/>
        <v>0</v>
      </c>
      <c r="L274" s="59">
        <f t="shared" si="156"/>
        <v>1297.5</v>
      </c>
      <c r="M274" s="59">
        <f t="shared" si="156"/>
        <v>1297.5</v>
      </c>
      <c r="N274" s="59">
        <f t="shared" si="156"/>
        <v>0.5</v>
      </c>
      <c r="O274" s="68">
        <f>M274/I274*100</f>
        <v>99.961479198767336</v>
      </c>
      <c r="P274" s="71">
        <f t="shared" si="116"/>
        <v>0</v>
      </c>
      <c r="Q274" s="35">
        <f t="shared" si="117"/>
        <v>0.5</v>
      </c>
      <c r="R274" s="72">
        <v>1103831</v>
      </c>
      <c r="S274" s="72">
        <f t="shared" si="118"/>
        <v>9130.5</v>
      </c>
      <c r="T274" s="62">
        <f t="shared" si="143"/>
        <v>9130.5</v>
      </c>
    </row>
    <row r="275" spans="1:20" ht="25.5">
      <c r="A275" s="100"/>
      <c r="B275" s="9"/>
      <c r="C275" s="9"/>
      <c r="D275" s="69"/>
      <c r="E275" s="69">
        <v>311</v>
      </c>
      <c r="F275" s="142" t="s">
        <v>133</v>
      </c>
      <c r="G275" s="26">
        <f>10428-10428</f>
        <v>0</v>
      </c>
      <c r="H275" s="26"/>
      <c r="I275" s="26"/>
      <c r="J275" s="105">
        <f>M275</f>
        <v>0</v>
      </c>
      <c r="K275" s="35">
        <f>'1.02.'!M261</f>
        <v>0</v>
      </c>
      <c r="L275" s="27"/>
      <c r="M275" s="92">
        <f>K275+L275</f>
        <v>0</v>
      </c>
      <c r="N275" s="93">
        <f>I275-M275</f>
        <v>0</v>
      </c>
      <c r="O275" s="70" t="e">
        <f>M275/I275*100</f>
        <v>#DIV/0!</v>
      </c>
      <c r="P275" s="71">
        <f t="shared" si="116"/>
        <v>0</v>
      </c>
      <c r="Q275" s="35">
        <f t="shared" si="117"/>
        <v>0</v>
      </c>
      <c r="R275" s="72">
        <v>1103832</v>
      </c>
      <c r="S275" s="72">
        <f t="shared" si="118"/>
        <v>0</v>
      </c>
      <c r="T275" s="62">
        <f t="shared" si="143"/>
        <v>0</v>
      </c>
    </row>
    <row r="276" spans="1:20">
      <c r="A276" s="100"/>
      <c r="B276" s="9"/>
      <c r="C276" s="9"/>
      <c r="D276" s="69"/>
      <c r="E276" s="69">
        <v>312</v>
      </c>
      <c r="F276" s="3" t="s">
        <v>166</v>
      </c>
      <c r="G276" s="26">
        <v>10428</v>
      </c>
      <c r="H276" s="26">
        <v>1298</v>
      </c>
      <c r="I276" s="26">
        <v>1298</v>
      </c>
      <c r="J276" s="105">
        <f>M276</f>
        <v>1297.5</v>
      </c>
      <c r="K276" s="35"/>
      <c r="L276" s="27">
        <v>1297.5</v>
      </c>
      <c r="M276" s="92">
        <f>K276+L276</f>
        <v>1297.5</v>
      </c>
      <c r="N276" s="93">
        <f>I276-M276</f>
        <v>0.5</v>
      </c>
      <c r="O276" s="70">
        <f>M276/I276*100</f>
        <v>99.961479198767336</v>
      </c>
      <c r="P276" s="71">
        <f t="shared" ref="P276" si="157">J276-M276</f>
        <v>0</v>
      </c>
      <c r="Q276" s="35">
        <f t="shared" ref="Q276" si="158">H276-J276</f>
        <v>0.5</v>
      </c>
      <c r="R276" s="72">
        <v>1103833</v>
      </c>
      <c r="S276" s="72">
        <f t="shared" ref="S276" si="159">G276-M276</f>
        <v>9130.5</v>
      </c>
    </row>
    <row r="277" spans="1:20" s="73" customFormat="1" ht="25.5">
      <c r="A277" s="8"/>
      <c r="B277" s="58">
        <v>1268</v>
      </c>
      <c r="C277" s="8"/>
      <c r="D277" s="21"/>
      <c r="E277" s="21"/>
      <c r="F277" s="143" t="s">
        <v>135</v>
      </c>
      <c r="G277" s="59">
        <f>G278+G305</f>
        <v>603992</v>
      </c>
      <c r="H277" s="59">
        <f t="shared" ref="H277:N277" si="160">H278+H305</f>
        <v>74579.899999999994</v>
      </c>
      <c r="I277" s="59">
        <f t="shared" si="160"/>
        <v>51613</v>
      </c>
      <c r="J277" s="29">
        <f t="shared" si="160"/>
        <v>73522.434379999992</v>
      </c>
      <c r="K277" s="29">
        <f>'1.02.'!M262</f>
        <v>2434.3649999999998</v>
      </c>
      <c r="L277" s="60">
        <f t="shared" si="160"/>
        <v>22521.802179999999</v>
      </c>
      <c r="M277" s="29">
        <f t="shared" si="160"/>
        <v>40623.657999999996</v>
      </c>
      <c r="N277" s="29">
        <f t="shared" si="160"/>
        <v>10989.341999999999</v>
      </c>
      <c r="O277" s="68">
        <f t="shared" ref="O277:O281" si="161">M277/I277*100</f>
        <v>78.708189797144129</v>
      </c>
      <c r="P277" s="71">
        <f t="shared" si="116"/>
        <v>32898.776379999996</v>
      </c>
      <c r="Q277" s="35">
        <f t="shared" si="117"/>
        <v>1057.4656200000027</v>
      </c>
      <c r="R277" s="72">
        <v>1103833</v>
      </c>
      <c r="S277" s="72">
        <f t="shared" si="118"/>
        <v>563368.34199999995</v>
      </c>
      <c r="T277" s="62">
        <f t="shared" si="143"/>
        <v>530469.56562000001</v>
      </c>
    </row>
    <row r="278" spans="1:20" ht="38.25">
      <c r="A278" s="8"/>
      <c r="B278" s="8"/>
      <c r="C278" s="17" t="s">
        <v>38</v>
      </c>
      <c r="D278" s="17"/>
      <c r="E278" s="21"/>
      <c r="F278" s="139" t="s">
        <v>121</v>
      </c>
      <c r="G278" s="42">
        <f>G286</f>
        <v>547045</v>
      </c>
      <c r="H278" s="42">
        <f t="shared" ref="H278:N278" si="162">H286</f>
        <v>47632.899999999994</v>
      </c>
      <c r="I278" s="42">
        <f t="shared" si="162"/>
        <v>37923.699999999997</v>
      </c>
      <c r="J278" s="42">
        <f t="shared" si="162"/>
        <v>47632.812999999995</v>
      </c>
      <c r="K278" s="29">
        <f>'1.02.'!M263</f>
        <v>2434.3649999999998</v>
      </c>
      <c r="L278" s="60">
        <f t="shared" si="162"/>
        <v>22521.802179999999</v>
      </c>
      <c r="M278" s="42">
        <f t="shared" si="162"/>
        <v>37923.657999999996</v>
      </c>
      <c r="N278" s="29">
        <f t="shared" si="162"/>
        <v>4.1999999999916326E-2</v>
      </c>
      <c r="O278" s="68">
        <f t="shared" si="161"/>
        <v>99.999889251312496</v>
      </c>
      <c r="P278" s="71">
        <f t="shared" si="116"/>
        <v>9709.1549999999988</v>
      </c>
      <c r="Q278" s="35">
        <f t="shared" si="117"/>
        <v>8.6999999999534339E-2</v>
      </c>
      <c r="R278" s="72">
        <v>1103834</v>
      </c>
      <c r="S278" s="72">
        <f t="shared" si="118"/>
        <v>509121.342</v>
      </c>
      <c r="T278" s="62">
        <f t="shared" si="143"/>
        <v>499412.18700000003</v>
      </c>
    </row>
    <row r="279" spans="1:20" hidden="1">
      <c r="A279" s="8"/>
      <c r="B279" s="8"/>
      <c r="C279" s="8"/>
      <c r="D279" s="17" t="s">
        <v>28</v>
      </c>
      <c r="E279" s="10"/>
      <c r="F279" s="135" t="s">
        <v>85</v>
      </c>
      <c r="G279" s="42">
        <f>SUM(G280:G285)</f>
        <v>0</v>
      </c>
      <c r="H279" s="42">
        <f t="shared" ref="H279:N279" si="163">SUM(H280:H285)</f>
        <v>0</v>
      </c>
      <c r="I279" s="42">
        <f t="shared" si="163"/>
        <v>0</v>
      </c>
      <c r="J279" s="33" t="e">
        <f t="shared" si="163"/>
        <v>#REF!</v>
      </c>
      <c r="K279" s="29" t="e">
        <f>'1.02.'!M264</f>
        <v>#REF!</v>
      </c>
      <c r="L279" s="33">
        <f t="shared" si="163"/>
        <v>0</v>
      </c>
      <c r="M279" s="60" t="e">
        <f t="shared" si="163"/>
        <v>#REF!</v>
      </c>
      <c r="N279" s="60" t="e">
        <f t="shared" si="163"/>
        <v>#REF!</v>
      </c>
      <c r="O279" s="68" t="e">
        <f t="shared" si="161"/>
        <v>#REF!</v>
      </c>
      <c r="P279" s="71" t="e">
        <f t="shared" si="116"/>
        <v>#REF!</v>
      </c>
      <c r="Q279" s="35" t="e">
        <f t="shared" si="117"/>
        <v>#REF!</v>
      </c>
      <c r="R279" s="72">
        <v>1103835</v>
      </c>
      <c r="S279" s="72" t="e">
        <f t="shared" si="118"/>
        <v>#REF!</v>
      </c>
      <c r="T279" s="62" t="e">
        <f t="shared" si="143"/>
        <v>#REF!</v>
      </c>
    </row>
    <row r="280" spans="1:20" s="73" customFormat="1" hidden="1">
      <c r="A280" s="9"/>
      <c r="B280" s="9"/>
      <c r="C280" s="9"/>
      <c r="D280" s="69"/>
      <c r="E280" s="69">
        <v>111</v>
      </c>
      <c r="F280" s="3" t="s">
        <v>0</v>
      </c>
      <c r="G280" s="26"/>
      <c r="H280" s="26"/>
      <c r="I280" s="26"/>
      <c r="J280" s="105" t="e">
        <f t="shared" ref="J280:J285" si="164">M280</f>
        <v>#REF!</v>
      </c>
      <c r="K280" s="29" t="e">
        <f>'1.02.'!M265</f>
        <v>#REF!</v>
      </c>
      <c r="L280" s="27"/>
      <c r="M280" s="71" t="e">
        <f t="shared" ref="M280:M285" si="165">K280+L280</f>
        <v>#REF!</v>
      </c>
      <c r="N280" s="35" t="e">
        <f t="shared" ref="N280:N285" si="166">I280-M280</f>
        <v>#REF!</v>
      </c>
      <c r="O280" s="70" t="e">
        <f t="shared" si="161"/>
        <v>#REF!</v>
      </c>
      <c r="P280" s="71" t="e">
        <f t="shared" si="116"/>
        <v>#REF!</v>
      </c>
      <c r="Q280" s="35" t="e">
        <f t="shared" si="117"/>
        <v>#REF!</v>
      </c>
      <c r="R280" s="72">
        <v>1103836</v>
      </c>
      <c r="S280" s="72" t="e">
        <f t="shared" si="118"/>
        <v>#REF!</v>
      </c>
      <c r="T280" s="62" t="e">
        <f t="shared" si="143"/>
        <v>#REF!</v>
      </c>
    </row>
    <row r="281" spans="1:20" hidden="1">
      <c r="A281" s="9"/>
      <c r="B281" s="9"/>
      <c r="C281" s="9"/>
      <c r="D281" s="69"/>
      <c r="E281" s="76">
        <v>113</v>
      </c>
      <c r="F281" s="3" t="s">
        <v>1</v>
      </c>
      <c r="G281" s="26"/>
      <c r="H281" s="26"/>
      <c r="I281" s="26"/>
      <c r="J281" s="105" t="e">
        <f t="shared" si="164"/>
        <v>#REF!</v>
      </c>
      <c r="K281" s="29" t="e">
        <f>'1.02.'!M266</f>
        <v>#REF!</v>
      </c>
      <c r="L281" s="27"/>
      <c r="M281" s="71" t="e">
        <f t="shared" si="165"/>
        <v>#REF!</v>
      </c>
      <c r="N281" s="35" t="e">
        <f t="shared" si="166"/>
        <v>#REF!</v>
      </c>
      <c r="O281" s="70" t="e">
        <f t="shared" si="161"/>
        <v>#REF!</v>
      </c>
      <c r="P281" s="71" t="e">
        <f t="shared" ref="P281:P309" si="167">J281-M281</f>
        <v>#REF!</v>
      </c>
      <c r="Q281" s="35" t="e">
        <f t="shared" ref="Q281:Q309" si="168">H281-J281</f>
        <v>#REF!</v>
      </c>
      <c r="R281" s="72">
        <v>1103837</v>
      </c>
      <c r="S281" s="72" t="e">
        <f t="shared" ref="S281:S309" si="169">G281-M281</f>
        <v>#REF!</v>
      </c>
      <c r="T281" s="62" t="e">
        <f t="shared" si="143"/>
        <v>#REF!</v>
      </c>
    </row>
    <row r="282" spans="1:20" hidden="1">
      <c r="A282" s="9"/>
      <c r="B282" s="9"/>
      <c r="C282" s="9"/>
      <c r="D282" s="69"/>
      <c r="E282" s="69">
        <v>116</v>
      </c>
      <c r="F282" s="3" t="s">
        <v>42</v>
      </c>
      <c r="G282" s="26"/>
      <c r="H282" s="26"/>
      <c r="I282" s="26"/>
      <c r="J282" s="105" t="e">
        <f t="shared" si="164"/>
        <v>#REF!</v>
      </c>
      <c r="K282" s="29" t="e">
        <f>'1.02.'!M267</f>
        <v>#REF!</v>
      </c>
      <c r="L282" s="27"/>
      <c r="M282" s="71" t="e">
        <f t="shared" si="165"/>
        <v>#REF!</v>
      </c>
      <c r="N282" s="35" t="e">
        <f t="shared" si="166"/>
        <v>#REF!</v>
      </c>
      <c r="O282" s="70" t="e">
        <f>M282/I282*100</f>
        <v>#REF!</v>
      </c>
      <c r="P282" s="71" t="e">
        <f t="shared" si="167"/>
        <v>#REF!</v>
      </c>
      <c r="Q282" s="35" t="e">
        <f t="shared" si="168"/>
        <v>#REF!</v>
      </c>
      <c r="R282" s="72">
        <v>1103838</v>
      </c>
      <c r="S282" s="72" t="e">
        <f t="shared" si="169"/>
        <v>#REF!</v>
      </c>
    </row>
    <row r="283" spans="1:20" s="73" customFormat="1" hidden="1">
      <c r="A283" s="9"/>
      <c r="B283" s="9"/>
      <c r="C283" s="9"/>
      <c r="D283" s="69"/>
      <c r="E283" s="69">
        <v>121</v>
      </c>
      <c r="F283" s="3" t="s">
        <v>2</v>
      </c>
      <c r="G283" s="26"/>
      <c r="H283" s="26"/>
      <c r="I283" s="26"/>
      <c r="J283" s="105" t="e">
        <f t="shared" si="164"/>
        <v>#REF!</v>
      </c>
      <c r="K283" s="29" t="e">
        <f>'1.02.'!M268</f>
        <v>#REF!</v>
      </c>
      <c r="L283" s="27"/>
      <c r="M283" s="71" t="e">
        <f t="shared" si="165"/>
        <v>#REF!</v>
      </c>
      <c r="N283" s="35" t="e">
        <f t="shared" si="166"/>
        <v>#REF!</v>
      </c>
      <c r="O283" s="70" t="e">
        <f>M283/I283*100</f>
        <v>#REF!</v>
      </c>
      <c r="P283" s="71" t="e">
        <f t="shared" si="167"/>
        <v>#REF!</v>
      </c>
      <c r="Q283" s="35" t="e">
        <f t="shared" si="168"/>
        <v>#REF!</v>
      </c>
      <c r="R283" s="72">
        <v>1103839</v>
      </c>
      <c r="S283" s="72" t="e">
        <f t="shared" si="169"/>
        <v>#REF!</v>
      </c>
      <c r="T283" s="62" t="e">
        <f t="shared" ref="T283:T287" si="170">G283-J283</f>
        <v>#REF!</v>
      </c>
    </row>
    <row r="284" spans="1:20" s="73" customFormat="1" ht="25.5" hidden="1">
      <c r="A284" s="9"/>
      <c r="B284" s="9"/>
      <c r="C284" s="9"/>
      <c r="D284" s="69"/>
      <c r="E284" s="69">
        <v>122</v>
      </c>
      <c r="F284" s="3" t="s">
        <v>3</v>
      </c>
      <c r="G284" s="26"/>
      <c r="H284" s="26"/>
      <c r="I284" s="26"/>
      <c r="J284" s="105" t="e">
        <f t="shared" si="164"/>
        <v>#REF!</v>
      </c>
      <c r="K284" s="29" t="e">
        <f>'1.02.'!M269</f>
        <v>#REF!</v>
      </c>
      <c r="L284" s="27"/>
      <c r="M284" s="71" t="e">
        <f t="shared" si="165"/>
        <v>#REF!</v>
      </c>
      <c r="N284" s="35" t="e">
        <f t="shared" si="166"/>
        <v>#REF!</v>
      </c>
      <c r="O284" s="70" t="e">
        <f t="shared" ref="O284:O289" si="171">M284/I284*100</f>
        <v>#REF!</v>
      </c>
      <c r="P284" s="71" t="e">
        <f t="shared" si="167"/>
        <v>#REF!</v>
      </c>
      <c r="Q284" s="35" t="e">
        <f t="shared" si="168"/>
        <v>#REF!</v>
      </c>
      <c r="R284" s="72">
        <v>1103840</v>
      </c>
      <c r="S284" s="72" t="e">
        <f t="shared" si="169"/>
        <v>#REF!</v>
      </c>
      <c r="T284" s="62" t="e">
        <f t="shared" si="170"/>
        <v>#REF!</v>
      </c>
    </row>
    <row r="285" spans="1:20" s="73" customFormat="1" ht="25.5" hidden="1">
      <c r="A285" s="9"/>
      <c r="B285" s="9"/>
      <c r="C285" s="9"/>
      <c r="D285" s="69"/>
      <c r="E285" s="69">
        <v>124</v>
      </c>
      <c r="F285" s="3" t="s">
        <v>19</v>
      </c>
      <c r="G285" s="26"/>
      <c r="H285" s="26"/>
      <c r="I285" s="26"/>
      <c r="J285" s="105" t="e">
        <f t="shared" si="164"/>
        <v>#REF!</v>
      </c>
      <c r="K285" s="29" t="e">
        <f>'1.02.'!M270</f>
        <v>#REF!</v>
      </c>
      <c r="L285" s="27"/>
      <c r="M285" s="71" t="e">
        <f t="shared" si="165"/>
        <v>#REF!</v>
      </c>
      <c r="N285" s="35" t="e">
        <f t="shared" si="166"/>
        <v>#REF!</v>
      </c>
      <c r="O285" s="70" t="e">
        <f t="shared" si="171"/>
        <v>#REF!</v>
      </c>
      <c r="P285" s="71" t="e">
        <f t="shared" si="167"/>
        <v>#REF!</v>
      </c>
      <c r="Q285" s="35" t="e">
        <f t="shared" si="168"/>
        <v>#REF!</v>
      </c>
      <c r="R285" s="72">
        <v>1103841</v>
      </c>
      <c r="S285" s="72" t="e">
        <f t="shared" si="169"/>
        <v>#REF!</v>
      </c>
      <c r="T285" s="62" t="e">
        <f t="shared" si="170"/>
        <v>#REF!</v>
      </c>
    </row>
    <row r="286" spans="1:20">
      <c r="A286" s="8"/>
      <c r="B286" s="8"/>
      <c r="C286" s="17"/>
      <c r="D286" s="17" t="s">
        <v>7</v>
      </c>
      <c r="E286" s="10"/>
      <c r="F286" s="135" t="s">
        <v>85</v>
      </c>
      <c r="G286" s="40">
        <f>SUM(G287:G304)</f>
        <v>547045</v>
      </c>
      <c r="H286" s="40">
        <f>SUM(H287:H304)</f>
        <v>47632.899999999994</v>
      </c>
      <c r="I286" s="40">
        <f>SUM(I287:I304)</f>
        <v>37923.699999999997</v>
      </c>
      <c r="J286" s="24">
        <f t="shared" ref="J286" si="172">SUM(J287:J304)</f>
        <v>47632.812999999995</v>
      </c>
      <c r="K286" s="29">
        <f>'1.02.'!M271</f>
        <v>2434.3649999999998</v>
      </c>
      <c r="L286" s="24">
        <f>SUM(L287:L304)</f>
        <v>22521.802179999999</v>
      </c>
      <c r="M286" s="24">
        <f t="shared" ref="M286" si="173">SUM(M287:M304)</f>
        <v>37923.657999999996</v>
      </c>
      <c r="N286" s="24">
        <f>SUM(N287:N304)</f>
        <v>4.1999999999916326E-2</v>
      </c>
      <c r="O286" s="66">
        <f t="shared" si="171"/>
        <v>99.999889251312496</v>
      </c>
      <c r="P286" s="71">
        <f t="shared" si="167"/>
        <v>9709.1549999999988</v>
      </c>
      <c r="Q286" s="35">
        <f t="shared" si="168"/>
        <v>8.6999999999534339E-2</v>
      </c>
      <c r="R286" s="72">
        <v>1103842</v>
      </c>
      <c r="S286" s="72">
        <f t="shared" si="169"/>
        <v>509121.342</v>
      </c>
      <c r="T286" s="62">
        <f t="shared" si="170"/>
        <v>499412.18700000003</v>
      </c>
    </row>
    <row r="287" spans="1:20">
      <c r="A287" s="8"/>
      <c r="B287" s="9"/>
      <c r="C287" s="9"/>
      <c r="D287" s="69"/>
      <c r="E287" s="69">
        <v>111</v>
      </c>
      <c r="F287" s="136" t="s">
        <v>86</v>
      </c>
      <c r="G287" s="26">
        <f>395706-34947</f>
        <v>360759</v>
      </c>
      <c r="H287" s="26">
        <v>16627</v>
      </c>
      <c r="I287" s="26">
        <v>16627</v>
      </c>
      <c r="J287" s="105">
        <f>M287</f>
        <v>16627</v>
      </c>
      <c r="K287" s="35">
        <f>'1.04.'!M285</f>
        <v>8627</v>
      </c>
      <c r="L287" s="27">
        <v>8000</v>
      </c>
      <c r="M287" s="92">
        <f t="shared" ref="M287:M289" si="174">K287+L287</f>
        <v>16627</v>
      </c>
      <c r="N287" s="93">
        <f t="shared" ref="N287:N289" si="175">I287-M287</f>
        <v>0</v>
      </c>
      <c r="O287" s="70">
        <f t="shared" si="171"/>
        <v>100</v>
      </c>
      <c r="P287" s="71">
        <f t="shared" si="167"/>
        <v>0</v>
      </c>
      <c r="Q287" s="35">
        <f t="shared" si="168"/>
        <v>0</v>
      </c>
      <c r="R287" s="72">
        <v>1103843</v>
      </c>
      <c r="S287" s="72">
        <f t="shared" si="169"/>
        <v>344132</v>
      </c>
      <c r="T287" s="62">
        <f t="shared" si="170"/>
        <v>344132</v>
      </c>
    </row>
    <row r="288" spans="1:20">
      <c r="A288" s="8"/>
      <c r="B288" s="9"/>
      <c r="C288" s="9"/>
      <c r="D288" s="69"/>
      <c r="E288" s="69">
        <v>112</v>
      </c>
      <c r="F288" s="136" t="s">
        <v>87</v>
      </c>
      <c r="G288" s="26"/>
      <c r="H288" s="26"/>
      <c r="I288" s="26"/>
      <c r="J288" s="105">
        <f t="shared" ref="J288:J304" si="176">M288</f>
        <v>0</v>
      </c>
      <c r="K288" s="35">
        <f>'1.04.'!M286</f>
        <v>0</v>
      </c>
      <c r="L288" s="27"/>
      <c r="M288" s="92">
        <f t="shared" si="174"/>
        <v>0</v>
      </c>
      <c r="N288" s="93">
        <f t="shared" si="175"/>
        <v>0</v>
      </c>
      <c r="O288" s="70" t="e">
        <f t="shared" si="171"/>
        <v>#DIV/0!</v>
      </c>
      <c r="P288" s="71">
        <f t="shared" si="167"/>
        <v>0</v>
      </c>
      <c r="Q288" s="35">
        <f t="shared" si="168"/>
        <v>0</v>
      </c>
      <c r="R288" s="72">
        <v>1103844</v>
      </c>
      <c r="S288" s="72">
        <f t="shared" si="169"/>
        <v>0</v>
      </c>
    </row>
    <row r="289" spans="1:20">
      <c r="A289" s="8"/>
      <c r="B289" s="9"/>
      <c r="C289" s="9"/>
      <c r="D289" s="69"/>
      <c r="E289" s="76">
        <v>113</v>
      </c>
      <c r="F289" s="136" t="s">
        <v>88</v>
      </c>
      <c r="G289" s="26">
        <f>19666-5000</f>
        <v>14666</v>
      </c>
      <c r="H289" s="26"/>
      <c r="I289" s="26"/>
      <c r="J289" s="105">
        <f t="shared" si="176"/>
        <v>0</v>
      </c>
      <c r="K289" s="35">
        <f>'1.04.'!M287</f>
        <v>0</v>
      </c>
      <c r="L289" s="27"/>
      <c r="M289" s="92">
        <f t="shared" si="174"/>
        <v>0</v>
      </c>
      <c r="N289" s="93">
        <f t="shared" si="175"/>
        <v>0</v>
      </c>
      <c r="O289" s="70" t="e">
        <f t="shared" si="171"/>
        <v>#DIV/0!</v>
      </c>
      <c r="P289" s="71">
        <f t="shared" si="167"/>
        <v>0</v>
      </c>
      <c r="Q289" s="35">
        <f t="shared" si="168"/>
        <v>0</v>
      </c>
      <c r="R289" s="72">
        <v>1103845</v>
      </c>
      <c r="S289" s="72">
        <f t="shared" si="169"/>
        <v>14666</v>
      </c>
      <c r="T289" s="62">
        <f t="shared" ref="T289" si="177">G289-J289</f>
        <v>14666</v>
      </c>
    </row>
    <row r="290" spans="1:20">
      <c r="A290" s="8"/>
      <c r="B290" s="9"/>
      <c r="C290" s="9"/>
      <c r="D290" s="69"/>
      <c r="E290" s="69">
        <v>116</v>
      </c>
      <c r="F290" s="136" t="s">
        <v>89</v>
      </c>
      <c r="G290" s="26">
        <f>13850-2000</f>
        <v>11850</v>
      </c>
      <c r="H290" s="26">
        <v>490</v>
      </c>
      <c r="I290" s="26">
        <v>490</v>
      </c>
      <c r="J290" s="105">
        <f t="shared" si="176"/>
        <v>490</v>
      </c>
      <c r="K290" s="35">
        <f>'1.04.'!M288</f>
        <v>189.2</v>
      </c>
      <c r="L290" s="27">
        <v>300.8</v>
      </c>
      <c r="M290" s="92">
        <f>K290+L290</f>
        <v>490</v>
      </c>
      <c r="N290" s="93">
        <f>I290-M290</f>
        <v>0</v>
      </c>
      <c r="O290" s="70">
        <f>M290/I290*100</f>
        <v>100</v>
      </c>
      <c r="P290" s="71">
        <f t="shared" si="167"/>
        <v>0</v>
      </c>
      <c r="Q290" s="35">
        <f t="shared" si="168"/>
        <v>0</v>
      </c>
      <c r="R290" s="72">
        <v>1103846</v>
      </c>
      <c r="S290" s="72">
        <f t="shared" si="169"/>
        <v>11360</v>
      </c>
    </row>
    <row r="291" spans="1:20">
      <c r="A291" s="8"/>
      <c r="B291" s="9"/>
      <c r="C291" s="9"/>
      <c r="D291" s="69"/>
      <c r="E291" s="69">
        <v>121</v>
      </c>
      <c r="F291" s="136" t="s">
        <v>90</v>
      </c>
      <c r="G291" s="26">
        <f>20498-5000</f>
        <v>15498</v>
      </c>
      <c r="H291" s="26">
        <v>792</v>
      </c>
      <c r="I291" s="26">
        <v>792</v>
      </c>
      <c r="J291" s="105">
        <f t="shared" si="176"/>
        <v>792</v>
      </c>
      <c r="K291" s="35">
        <f>'1.04.'!M289</f>
        <v>285</v>
      </c>
      <c r="L291" s="27">
        <v>507</v>
      </c>
      <c r="M291" s="92">
        <f t="shared" ref="M291:M303" si="178">K291+L291</f>
        <v>792</v>
      </c>
      <c r="N291" s="93">
        <f t="shared" ref="N291:N304" si="179">I291-M291</f>
        <v>0</v>
      </c>
      <c r="O291" s="70">
        <f t="shared" ref="O291:O304" si="180">M291/I291*100</f>
        <v>100</v>
      </c>
      <c r="P291" s="71">
        <f t="shared" si="167"/>
        <v>0</v>
      </c>
      <c r="Q291" s="35">
        <f t="shared" si="168"/>
        <v>0</v>
      </c>
      <c r="R291" s="72">
        <v>1103847</v>
      </c>
      <c r="S291" s="72">
        <f t="shared" si="169"/>
        <v>14706</v>
      </c>
      <c r="T291" s="62">
        <f t="shared" ref="T291:T300" si="181">G291-J291</f>
        <v>14706</v>
      </c>
    </row>
    <row r="292" spans="1:20" ht="25.5">
      <c r="A292" s="8"/>
      <c r="B292" s="9"/>
      <c r="C292" s="9"/>
      <c r="D292" s="69"/>
      <c r="E292" s="69">
        <v>122</v>
      </c>
      <c r="F292" s="136" t="s">
        <v>91</v>
      </c>
      <c r="G292" s="26">
        <f>17807-5000</f>
        <v>12807</v>
      </c>
      <c r="H292" s="26">
        <v>723</v>
      </c>
      <c r="I292" s="26">
        <v>723</v>
      </c>
      <c r="J292" s="105">
        <f t="shared" si="176"/>
        <v>723</v>
      </c>
      <c r="K292" s="35">
        <f>'1.04.'!M290</f>
        <v>384</v>
      </c>
      <c r="L292" s="27">
        <v>339</v>
      </c>
      <c r="M292" s="92">
        <f t="shared" si="178"/>
        <v>723</v>
      </c>
      <c r="N292" s="93">
        <f t="shared" si="179"/>
        <v>0</v>
      </c>
      <c r="O292" s="70">
        <f t="shared" si="180"/>
        <v>100</v>
      </c>
      <c r="P292" s="71">
        <f t="shared" si="167"/>
        <v>0</v>
      </c>
      <c r="Q292" s="35">
        <f t="shared" si="168"/>
        <v>0</v>
      </c>
      <c r="R292" s="72">
        <v>1103848</v>
      </c>
      <c r="S292" s="72">
        <f t="shared" si="169"/>
        <v>12084</v>
      </c>
      <c r="T292" s="62">
        <f t="shared" si="181"/>
        <v>12084</v>
      </c>
    </row>
    <row r="293" spans="1:20">
      <c r="A293" s="8"/>
      <c r="B293" s="9"/>
      <c r="C293" s="9"/>
      <c r="D293" s="69"/>
      <c r="E293" s="69">
        <v>123</v>
      </c>
      <c r="F293" s="136" t="s">
        <v>92</v>
      </c>
      <c r="G293" s="26"/>
      <c r="H293" s="26"/>
      <c r="I293" s="26"/>
      <c r="J293" s="105">
        <f t="shared" si="176"/>
        <v>0</v>
      </c>
      <c r="K293" s="35">
        <f>'1.04.'!M291</f>
        <v>0</v>
      </c>
      <c r="L293" s="27"/>
      <c r="M293" s="92">
        <f t="shared" si="178"/>
        <v>0</v>
      </c>
      <c r="N293" s="93">
        <f t="shared" si="179"/>
        <v>0</v>
      </c>
      <c r="O293" s="70" t="e">
        <f t="shared" si="180"/>
        <v>#DIV/0!</v>
      </c>
      <c r="P293" s="71">
        <f t="shared" si="167"/>
        <v>0</v>
      </c>
      <c r="Q293" s="35">
        <f t="shared" si="168"/>
        <v>0</v>
      </c>
      <c r="R293" s="72">
        <v>1103849</v>
      </c>
      <c r="S293" s="72">
        <f t="shared" si="169"/>
        <v>0</v>
      </c>
      <c r="T293" s="62">
        <f t="shared" si="181"/>
        <v>0</v>
      </c>
    </row>
    <row r="294" spans="1:20">
      <c r="A294" s="9"/>
      <c r="B294" s="9"/>
      <c r="C294" s="9"/>
      <c r="D294" s="69"/>
      <c r="E294" s="69">
        <v>124</v>
      </c>
      <c r="F294" s="136" t="s">
        <v>93</v>
      </c>
      <c r="G294" s="26">
        <f>11872-5000</f>
        <v>6872</v>
      </c>
      <c r="H294" s="26">
        <v>489</v>
      </c>
      <c r="I294" s="26">
        <v>489</v>
      </c>
      <c r="J294" s="105">
        <f t="shared" si="176"/>
        <v>489</v>
      </c>
      <c r="K294" s="35">
        <f>'1.04.'!M292</f>
        <v>298</v>
      </c>
      <c r="L294" s="27">
        <v>191</v>
      </c>
      <c r="M294" s="92">
        <f t="shared" si="178"/>
        <v>489</v>
      </c>
      <c r="N294" s="93">
        <f t="shared" si="179"/>
        <v>0</v>
      </c>
      <c r="O294" s="70">
        <f t="shared" si="180"/>
        <v>100</v>
      </c>
      <c r="P294" s="71">
        <f t="shared" si="167"/>
        <v>0</v>
      </c>
      <c r="Q294" s="35">
        <f t="shared" si="168"/>
        <v>0</v>
      </c>
      <c r="R294" s="72">
        <v>1103850</v>
      </c>
      <c r="S294" s="72">
        <f t="shared" si="169"/>
        <v>6383</v>
      </c>
      <c r="T294" s="62">
        <f t="shared" si="181"/>
        <v>6383</v>
      </c>
    </row>
    <row r="295" spans="1:20" s="73" customFormat="1">
      <c r="A295" s="9"/>
      <c r="B295" s="9"/>
      <c r="C295" s="9"/>
      <c r="D295" s="69"/>
      <c r="E295" s="69">
        <v>141</v>
      </c>
      <c r="F295" s="136" t="s">
        <v>116</v>
      </c>
      <c r="G295" s="26">
        <v>42256</v>
      </c>
      <c r="H295" s="26"/>
      <c r="I295" s="26"/>
      <c r="J295" s="105">
        <f t="shared" si="176"/>
        <v>0</v>
      </c>
      <c r="K295" s="35">
        <f>'1.04.'!M293</f>
        <v>0</v>
      </c>
      <c r="L295" s="27"/>
      <c r="M295" s="92">
        <f t="shared" si="178"/>
        <v>0</v>
      </c>
      <c r="N295" s="93">
        <f t="shared" si="179"/>
        <v>0</v>
      </c>
      <c r="O295" s="70" t="e">
        <f t="shared" si="180"/>
        <v>#DIV/0!</v>
      </c>
      <c r="P295" s="71">
        <f t="shared" si="167"/>
        <v>0</v>
      </c>
      <c r="Q295" s="35">
        <f t="shared" si="168"/>
        <v>0</v>
      </c>
      <c r="R295" s="72">
        <v>1103851</v>
      </c>
      <c r="S295" s="72">
        <f t="shared" si="169"/>
        <v>42256</v>
      </c>
      <c r="T295" s="62">
        <f t="shared" si="181"/>
        <v>42256</v>
      </c>
    </row>
    <row r="296" spans="1:20" ht="25.5">
      <c r="A296" s="9"/>
      <c r="B296" s="9"/>
      <c r="C296" s="9"/>
      <c r="D296" s="69"/>
      <c r="E296" s="69">
        <v>142</v>
      </c>
      <c r="F296" s="136" t="s">
        <v>122</v>
      </c>
      <c r="G296" s="26">
        <v>3014</v>
      </c>
      <c r="H296" s="26"/>
      <c r="I296" s="26"/>
      <c r="J296" s="105">
        <f t="shared" si="176"/>
        <v>0</v>
      </c>
      <c r="K296" s="35">
        <f>'1.04.'!M294</f>
        <v>0</v>
      </c>
      <c r="L296" s="27"/>
      <c r="M296" s="92">
        <f t="shared" si="178"/>
        <v>0</v>
      </c>
      <c r="N296" s="93">
        <f t="shared" si="179"/>
        <v>0</v>
      </c>
      <c r="O296" s="70" t="e">
        <f t="shared" si="180"/>
        <v>#DIV/0!</v>
      </c>
      <c r="P296" s="71">
        <f t="shared" si="167"/>
        <v>0</v>
      </c>
      <c r="Q296" s="35">
        <f t="shared" si="168"/>
        <v>0</v>
      </c>
      <c r="R296" s="72">
        <v>1103852</v>
      </c>
      <c r="S296" s="72">
        <f t="shared" si="169"/>
        <v>3014</v>
      </c>
      <c r="T296" s="62">
        <f t="shared" si="181"/>
        <v>3014</v>
      </c>
    </row>
    <row r="297" spans="1:20">
      <c r="A297" s="9"/>
      <c r="B297" s="9"/>
      <c r="C297" s="9"/>
      <c r="D297" s="69"/>
      <c r="E297" s="69">
        <v>144</v>
      </c>
      <c r="F297" s="136" t="s">
        <v>97</v>
      </c>
      <c r="G297" s="26">
        <v>400</v>
      </c>
      <c r="H297" s="26"/>
      <c r="I297" s="26"/>
      <c r="J297" s="105">
        <f t="shared" si="176"/>
        <v>0</v>
      </c>
      <c r="K297" s="35">
        <f>'1.04.'!M295</f>
        <v>0</v>
      </c>
      <c r="L297" s="27"/>
      <c r="M297" s="92">
        <f t="shared" si="178"/>
        <v>0</v>
      </c>
      <c r="N297" s="93">
        <f t="shared" si="179"/>
        <v>0</v>
      </c>
      <c r="O297" s="70" t="e">
        <f t="shared" si="180"/>
        <v>#DIV/0!</v>
      </c>
      <c r="P297" s="71">
        <f t="shared" si="167"/>
        <v>0</v>
      </c>
      <c r="Q297" s="35">
        <f t="shared" si="168"/>
        <v>0</v>
      </c>
      <c r="R297" s="72">
        <v>1103853</v>
      </c>
      <c r="S297" s="72">
        <f t="shared" si="169"/>
        <v>400</v>
      </c>
      <c r="T297" s="62">
        <f t="shared" si="181"/>
        <v>400</v>
      </c>
    </row>
    <row r="298" spans="1:20">
      <c r="A298" s="9"/>
      <c r="B298" s="9"/>
      <c r="C298" s="9"/>
      <c r="D298" s="69"/>
      <c r="E298" s="69">
        <v>149</v>
      </c>
      <c r="F298" s="136" t="s">
        <v>98</v>
      </c>
      <c r="G298" s="26">
        <v>7350</v>
      </c>
      <c r="H298" s="26">
        <v>794</v>
      </c>
      <c r="I298" s="26">
        <v>794</v>
      </c>
      <c r="J298" s="105">
        <v>794</v>
      </c>
      <c r="K298" s="35">
        <f>'1.04.'!M296</f>
        <v>0</v>
      </c>
      <c r="L298" s="27">
        <f>172.25+621.75</f>
        <v>794</v>
      </c>
      <c r="M298" s="92">
        <f t="shared" si="178"/>
        <v>794</v>
      </c>
      <c r="N298" s="93">
        <f>I298-M298</f>
        <v>0</v>
      </c>
      <c r="O298" s="70">
        <f t="shared" si="180"/>
        <v>100</v>
      </c>
      <c r="P298" s="71">
        <f t="shared" si="167"/>
        <v>0</v>
      </c>
      <c r="Q298" s="35">
        <f t="shared" si="168"/>
        <v>0</v>
      </c>
      <c r="R298" s="72">
        <v>1103854</v>
      </c>
      <c r="S298" s="72">
        <f t="shared" si="169"/>
        <v>6556</v>
      </c>
      <c r="T298" s="62">
        <f t="shared" si="181"/>
        <v>6556</v>
      </c>
    </row>
    <row r="299" spans="1:20">
      <c r="A299" s="9"/>
      <c r="B299" s="9"/>
      <c r="C299" s="9"/>
      <c r="D299" s="69"/>
      <c r="E299" s="69">
        <v>151</v>
      </c>
      <c r="F299" s="136" t="s">
        <v>99</v>
      </c>
      <c r="G299" s="26">
        <v>46563</v>
      </c>
      <c r="H299" s="26">
        <v>15436.7</v>
      </c>
      <c r="I299" s="26">
        <v>15436.7</v>
      </c>
      <c r="J299" s="105">
        <f t="shared" si="176"/>
        <v>15436.7</v>
      </c>
      <c r="K299" s="35">
        <f>'1.04.'!M297</f>
        <v>5436.6558199999999</v>
      </c>
      <c r="L299" s="27">
        <v>10000.044180000001</v>
      </c>
      <c r="M299" s="92">
        <f t="shared" si="178"/>
        <v>15436.7</v>
      </c>
      <c r="N299" s="93">
        <f t="shared" si="179"/>
        <v>0</v>
      </c>
      <c r="O299" s="70">
        <f t="shared" si="180"/>
        <v>100</v>
      </c>
      <c r="P299" s="71">
        <f t="shared" si="167"/>
        <v>0</v>
      </c>
      <c r="Q299" s="35">
        <f t="shared" si="168"/>
        <v>0</v>
      </c>
      <c r="R299" s="72">
        <v>1103855</v>
      </c>
      <c r="S299" s="72">
        <f t="shared" si="169"/>
        <v>31126.3</v>
      </c>
      <c r="T299" s="62">
        <f t="shared" si="181"/>
        <v>31126.3</v>
      </c>
    </row>
    <row r="300" spans="1:20" hidden="1">
      <c r="A300" s="9"/>
      <c r="B300" s="9"/>
      <c r="C300" s="9"/>
      <c r="D300" s="69"/>
      <c r="E300" s="69">
        <v>152</v>
      </c>
      <c r="F300" s="136" t="s">
        <v>100</v>
      </c>
      <c r="G300" s="26"/>
      <c r="H300" s="26"/>
      <c r="I300" s="26"/>
      <c r="J300" s="105">
        <f t="shared" si="176"/>
        <v>0</v>
      </c>
      <c r="K300" s="35">
        <f>'1.04.'!M298</f>
        <v>0</v>
      </c>
      <c r="L300" s="27"/>
      <c r="M300" s="92">
        <f t="shared" si="178"/>
        <v>0</v>
      </c>
      <c r="N300" s="93">
        <f t="shared" si="179"/>
        <v>0</v>
      </c>
      <c r="O300" s="70" t="e">
        <f t="shared" si="180"/>
        <v>#DIV/0!</v>
      </c>
      <c r="P300" s="71">
        <f t="shared" si="167"/>
        <v>0</v>
      </c>
      <c r="Q300" s="35">
        <f t="shared" si="168"/>
        <v>0</v>
      </c>
      <c r="R300" s="72">
        <v>1103856</v>
      </c>
      <c r="S300" s="72">
        <f t="shared" si="169"/>
        <v>0</v>
      </c>
      <c r="T300" s="62">
        <f t="shared" si="181"/>
        <v>0</v>
      </c>
    </row>
    <row r="301" spans="1:20" ht="25.5">
      <c r="A301" s="9"/>
      <c r="B301" s="9"/>
      <c r="C301" s="9"/>
      <c r="D301" s="69"/>
      <c r="E301" s="69">
        <v>158</v>
      </c>
      <c r="F301" s="136" t="s">
        <v>101</v>
      </c>
      <c r="G301" s="26">
        <v>730</v>
      </c>
      <c r="H301" s="26">
        <v>730</v>
      </c>
      <c r="I301" s="26">
        <v>183</v>
      </c>
      <c r="J301" s="105">
        <v>730</v>
      </c>
      <c r="K301" s="35">
        <f>'1.04.'!M299</f>
        <v>122</v>
      </c>
      <c r="L301" s="27">
        <v>61</v>
      </c>
      <c r="M301" s="92">
        <f t="shared" si="178"/>
        <v>183</v>
      </c>
      <c r="N301" s="93">
        <f t="shared" si="179"/>
        <v>0</v>
      </c>
      <c r="O301" s="70">
        <f t="shared" si="180"/>
        <v>100</v>
      </c>
      <c r="P301" s="71">
        <f t="shared" si="167"/>
        <v>547</v>
      </c>
      <c r="Q301" s="35">
        <f t="shared" si="168"/>
        <v>0</v>
      </c>
      <c r="R301" s="72">
        <v>1103857</v>
      </c>
      <c r="S301" s="72">
        <f t="shared" si="169"/>
        <v>547</v>
      </c>
    </row>
    <row r="302" spans="1:20">
      <c r="A302" s="9"/>
      <c r="B302" s="9"/>
      <c r="C302" s="9"/>
      <c r="D302" s="69"/>
      <c r="E302" s="69">
        <v>159</v>
      </c>
      <c r="F302" s="136" t="s">
        <v>84</v>
      </c>
      <c r="G302" s="26">
        <v>24280</v>
      </c>
      <c r="H302" s="26">
        <v>11551.2</v>
      </c>
      <c r="I302" s="26">
        <v>2389</v>
      </c>
      <c r="J302" s="105">
        <v>11551.112999999999</v>
      </c>
      <c r="K302" s="35">
        <f>'1.04.'!M300</f>
        <v>60</v>
      </c>
      <c r="L302" s="27">
        <v>2328.9580000000001</v>
      </c>
      <c r="M302" s="92">
        <f t="shared" si="178"/>
        <v>2388.9580000000001</v>
      </c>
      <c r="N302" s="93">
        <f t="shared" si="179"/>
        <v>4.1999999999916326E-2</v>
      </c>
      <c r="O302" s="70">
        <f t="shared" si="180"/>
        <v>99.998241942235239</v>
      </c>
      <c r="P302" s="71">
        <f t="shared" si="167"/>
        <v>9162.1549999999988</v>
      </c>
      <c r="Q302" s="35">
        <f t="shared" si="168"/>
        <v>8.7000000001353328E-2</v>
      </c>
      <c r="R302" s="72">
        <v>1103858</v>
      </c>
      <c r="S302" s="72">
        <f t="shared" si="169"/>
        <v>21891.042000000001</v>
      </c>
      <c r="T302" s="62">
        <f t="shared" ref="T302:T304" si="182">G302-J302</f>
        <v>12728.887000000001</v>
      </c>
    </row>
    <row r="303" spans="1:20">
      <c r="A303" s="9"/>
      <c r="B303" s="9"/>
      <c r="C303" s="9"/>
      <c r="D303" s="69"/>
      <c r="E303" s="69">
        <v>161</v>
      </c>
      <c r="F303" s="136" t="s">
        <v>102</v>
      </c>
      <c r="G303" s="26"/>
      <c r="H303" s="26"/>
      <c r="I303" s="26"/>
      <c r="J303" s="105">
        <f t="shared" si="176"/>
        <v>0</v>
      </c>
      <c r="K303" s="35">
        <f>'1.04.'!M301</f>
        <v>0</v>
      </c>
      <c r="L303" s="27"/>
      <c r="M303" s="92">
        <f t="shared" si="178"/>
        <v>0</v>
      </c>
      <c r="N303" s="93">
        <f t="shared" si="179"/>
        <v>0</v>
      </c>
      <c r="O303" s="70" t="e">
        <f t="shared" si="180"/>
        <v>#DIV/0!</v>
      </c>
      <c r="P303" s="71">
        <f t="shared" si="167"/>
        <v>0</v>
      </c>
      <c r="Q303" s="35">
        <f t="shared" si="168"/>
        <v>0</v>
      </c>
      <c r="R303" s="72">
        <v>1103859</v>
      </c>
      <c r="S303" s="72">
        <f t="shared" si="169"/>
        <v>0</v>
      </c>
      <c r="T303" s="62">
        <f t="shared" si="182"/>
        <v>0</v>
      </c>
    </row>
    <row r="304" spans="1:20">
      <c r="A304" s="9"/>
      <c r="B304" s="9"/>
      <c r="C304" s="9"/>
      <c r="D304" s="69"/>
      <c r="E304" s="69">
        <v>169</v>
      </c>
      <c r="F304" s="136" t="s">
        <v>103</v>
      </c>
      <c r="G304" s="26"/>
      <c r="H304" s="26"/>
      <c r="I304" s="26"/>
      <c r="J304" s="105">
        <f t="shared" si="176"/>
        <v>0</v>
      </c>
      <c r="K304" s="35">
        <f>'1.04.'!M302</f>
        <v>0</v>
      </c>
      <c r="L304" s="27"/>
      <c r="M304" s="92">
        <f>K304+L304</f>
        <v>0</v>
      </c>
      <c r="N304" s="93">
        <f t="shared" si="179"/>
        <v>0</v>
      </c>
      <c r="O304" s="70" t="e">
        <f t="shared" si="180"/>
        <v>#DIV/0!</v>
      </c>
      <c r="P304" s="71">
        <f t="shared" si="167"/>
        <v>0</v>
      </c>
      <c r="Q304" s="35">
        <f t="shared" si="168"/>
        <v>0</v>
      </c>
      <c r="R304" s="72">
        <v>1103860</v>
      </c>
      <c r="S304" s="72">
        <f t="shared" si="169"/>
        <v>0</v>
      </c>
      <c r="T304" s="62">
        <f t="shared" si="182"/>
        <v>0</v>
      </c>
    </row>
    <row r="305" spans="1:20" ht="25.5">
      <c r="A305" s="100"/>
      <c r="B305" s="15"/>
      <c r="C305" s="57" t="s">
        <v>43</v>
      </c>
      <c r="D305" s="16"/>
      <c r="E305" s="20"/>
      <c r="F305" s="139" t="s">
        <v>119</v>
      </c>
      <c r="G305" s="59">
        <f t="shared" ref="G305:N305" si="183">G306</f>
        <v>56947</v>
      </c>
      <c r="H305" s="59">
        <f t="shared" si="183"/>
        <v>26947</v>
      </c>
      <c r="I305" s="59">
        <f t="shared" si="183"/>
        <v>13689.3</v>
      </c>
      <c r="J305" s="29">
        <f t="shared" si="183"/>
        <v>25889.62138</v>
      </c>
      <c r="K305" s="35">
        <f>'1.02.'!M290</f>
        <v>0</v>
      </c>
      <c r="L305" s="59"/>
      <c r="M305" s="29">
        <f t="shared" si="183"/>
        <v>2700</v>
      </c>
      <c r="N305" s="29">
        <f t="shared" si="183"/>
        <v>10989.3</v>
      </c>
      <c r="O305" s="70"/>
      <c r="P305" s="71">
        <f t="shared" si="167"/>
        <v>23189.62138</v>
      </c>
      <c r="Q305" s="35">
        <f t="shared" si="168"/>
        <v>1057.3786199999995</v>
      </c>
      <c r="R305" s="72">
        <v>1103861</v>
      </c>
      <c r="S305" s="72">
        <f t="shared" si="169"/>
        <v>54247</v>
      </c>
    </row>
    <row r="306" spans="1:20">
      <c r="A306" s="9"/>
      <c r="B306" s="12"/>
      <c r="C306" s="12"/>
      <c r="D306" s="11" t="s">
        <v>7</v>
      </c>
      <c r="E306" s="97"/>
      <c r="F306" s="122" t="s">
        <v>85</v>
      </c>
      <c r="G306" s="98">
        <f>G307+G308+G309</f>
        <v>56947</v>
      </c>
      <c r="H306" s="98">
        <f t="shared" ref="H306:I306" si="184">H307+H308+H309</f>
        <v>26947</v>
      </c>
      <c r="I306" s="98">
        <f t="shared" si="184"/>
        <v>13689.3</v>
      </c>
      <c r="J306" s="32">
        <f>J307+J308+J309</f>
        <v>25889.62138</v>
      </c>
      <c r="K306" s="35">
        <f>'1.02.'!M291</f>
        <v>0</v>
      </c>
      <c r="L306" s="32">
        <f t="shared" ref="L306:N306" si="185">L307+L308+L309</f>
        <v>2700</v>
      </c>
      <c r="M306" s="32">
        <f t="shared" si="185"/>
        <v>2700</v>
      </c>
      <c r="N306" s="32">
        <f t="shared" si="185"/>
        <v>10989.3</v>
      </c>
      <c r="O306" s="68">
        <f>M306/I306*100</f>
        <v>19.723433630645832</v>
      </c>
      <c r="P306" s="71">
        <f t="shared" si="167"/>
        <v>23189.62138</v>
      </c>
      <c r="Q306" s="35">
        <f t="shared" si="168"/>
        <v>1057.3786199999995</v>
      </c>
      <c r="R306" s="72">
        <v>1103862</v>
      </c>
      <c r="S306" s="72">
        <f t="shared" si="169"/>
        <v>54247</v>
      </c>
      <c r="T306" s="62">
        <f>G306-J306</f>
        <v>31057.37862</v>
      </c>
    </row>
    <row r="307" spans="1:20">
      <c r="A307" s="9"/>
      <c r="B307" s="13"/>
      <c r="C307" s="13"/>
      <c r="D307" s="14"/>
      <c r="E307" s="20">
        <v>413</v>
      </c>
      <c r="F307" s="78" t="s">
        <v>152</v>
      </c>
      <c r="G307" s="34"/>
      <c r="H307" s="34"/>
      <c r="I307" s="34"/>
      <c r="J307" s="107">
        <f>M307</f>
        <v>0</v>
      </c>
      <c r="K307" s="35">
        <f>'1.02.'!M292</f>
        <v>0</v>
      </c>
      <c r="L307" s="34"/>
      <c r="M307" s="92">
        <f>K307+L307</f>
        <v>0</v>
      </c>
      <c r="N307" s="93">
        <f t="shared" ref="N307:N309" si="186">I307-M307</f>
        <v>0</v>
      </c>
      <c r="O307" s="70"/>
      <c r="P307" s="71">
        <f t="shared" si="167"/>
        <v>0</v>
      </c>
      <c r="Q307" s="35">
        <f t="shared" si="168"/>
        <v>0</v>
      </c>
      <c r="R307" s="72">
        <v>1103863</v>
      </c>
      <c r="S307" s="72">
        <f t="shared" si="169"/>
        <v>0</v>
      </c>
    </row>
    <row r="308" spans="1:20" ht="25.5">
      <c r="A308" s="9"/>
      <c r="B308" s="13"/>
      <c r="C308" s="13"/>
      <c r="D308" s="14"/>
      <c r="E308" s="20">
        <v>414</v>
      </c>
      <c r="F308" s="50" t="s">
        <v>105</v>
      </c>
      <c r="G308" s="37">
        <v>56947</v>
      </c>
      <c r="H308" s="37">
        <v>26947</v>
      </c>
      <c r="I308" s="37">
        <v>13689.3</v>
      </c>
      <c r="J308" s="75">
        <v>25889.62138</v>
      </c>
      <c r="K308" s="35">
        <f>'1.02.'!M293</f>
        <v>0</v>
      </c>
      <c r="L308" s="37">
        <v>2700</v>
      </c>
      <c r="M308" s="92">
        <f>K308+L308</f>
        <v>2700</v>
      </c>
      <c r="N308" s="93">
        <f t="shared" si="186"/>
        <v>10989.3</v>
      </c>
      <c r="O308" s="70"/>
      <c r="P308" s="71">
        <f t="shared" si="167"/>
        <v>23189.62138</v>
      </c>
      <c r="Q308" s="35">
        <f t="shared" si="168"/>
        <v>1057.3786199999995</v>
      </c>
      <c r="R308" s="72">
        <v>1103864</v>
      </c>
      <c r="S308" s="72">
        <f t="shared" si="169"/>
        <v>54247</v>
      </c>
    </row>
    <row r="309" spans="1:20" ht="25.5" hidden="1">
      <c r="A309" s="100"/>
      <c r="B309" s="15"/>
      <c r="C309" s="15"/>
      <c r="D309" s="16"/>
      <c r="E309" s="20">
        <v>421</v>
      </c>
      <c r="F309" s="3" t="s">
        <v>60</v>
      </c>
      <c r="G309" s="37"/>
      <c r="H309" s="37"/>
      <c r="I309" s="37"/>
      <c r="J309" s="75"/>
      <c r="K309" s="35"/>
      <c r="L309" s="35"/>
      <c r="M309" s="92">
        <f t="shared" ref="M309" si="187">K309+L309</f>
        <v>0</v>
      </c>
      <c r="N309" s="93">
        <f t="shared" si="186"/>
        <v>0</v>
      </c>
      <c r="O309" s="70" t="e">
        <f t="shared" ref="O309" si="188">M309/I309*100</f>
        <v>#DIV/0!</v>
      </c>
      <c r="P309" s="71">
        <f t="shared" si="167"/>
        <v>0</v>
      </c>
      <c r="Q309" s="35">
        <f t="shared" si="168"/>
        <v>0</v>
      </c>
      <c r="R309" s="72">
        <v>1103865</v>
      </c>
      <c r="S309" s="72">
        <f t="shared" si="169"/>
        <v>0</v>
      </c>
    </row>
    <row r="348" spans="6:6">
      <c r="F348" s="73" t="s">
        <v>27</v>
      </c>
    </row>
  </sheetData>
  <mergeCells count="16">
    <mergeCell ref="F3:F4"/>
    <mergeCell ref="A3:A4"/>
    <mergeCell ref="B3:B4"/>
    <mergeCell ref="C3:C4"/>
    <mergeCell ref="D3:D4"/>
    <mergeCell ref="E3:E4"/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352"/>
  <sheetViews>
    <sheetView view="pageBreakPreview" zoomScaleSheetLayoutView="100" workbookViewId="0">
      <pane xSplit="6" ySplit="4" topLeftCell="G180" activePane="bottomRight" state="frozen"/>
      <selection pane="topRight" activeCell="G1" sqref="G1"/>
      <selection pane="bottomLeft" activeCell="A5" sqref="A5"/>
      <selection pane="bottomRight" sqref="A1:XFD1048576"/>
    </sheetView>
  </sheetViews>
  <sheetFormatPr defaultRowHeight="12.75"/>
  <cols>
    <col min="1" max="1" width="4.7109375" style="6" customWidth="1"/>
    <col min="2" max="2" width="6.5703125" style="6" bestFit="1" customWidth="1"/>
    <col min="3" max="3" width="4.140625" style="6" customWidth="1"/>
    <col min="4" max="4" width="4.5703125" style="6" customWidth="1"/>
    <col min="5" max="5" width="4.85546875" style="6" customWidth="1"/>
    <col min="6" max="6" width="52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425781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160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8" t="s">
        <v>139</v>
      </c>
      <c r="I4" s="128" t="s">
        <v>140</v>
      </c>
      <c r="J4" s="144"/>
      <c r="K4" s="128" t="s">
        <v>143</v>
      </c>
      <c r="L4" s="128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>G6+G109+G130+G153+G180+G206+G230+G281</f>
        <v>17032809</v>
      </c>
      <c r="H5" s="40">
        <f t="shared" ref="H5:N5" si="0">H6+H109+H130+H153+H180+H206+H230+H281</f>
        <v>5118986.9000000004</v>
      </c>
      <c r="I5" s="40">
        <f t="shared" si="0"/>
        <v>4369484.7</v>
      </c>
      <c r="J5" s="24">
        <f t="shared" si="0"/>
        <v>4951814.4182899995</v>
      </c>
      <c r="K5" s="24">
        <f t="shared" si="0"/>
        <v>653970.93089000008</v>
      </c>
      <c r="L5" s="40">
        <f t="shared" si="0"/>
        <v>948164.40112000005</v>
      </c>
      <c r="M5" s="24">
        <f t="shared" si="0"/>
        <v>4269132.3187899999</v>
      </c>
      <c r="N5" s="24">
        <f t="shared" si="0"/>
        <v>100352.38121000004</v>
      </c>
      <c r="O5" s="66">
        <f>M5/I5*100</f>
        <v>97.703336020148996</v>
      </c>
      <c r="P5" s="60">
        <f t="shared" ref="P5:P8" si="1">J5-M5</f>
        <v>682682.09949999955</v>
      </c>
      <c r="Q5" s="29">
        <f t="shared" ref="Q5:Q8" si="2">H5-J5</f>
        <v>167172.48171000089</v>
      </c>
      <c r="R5" s="74">
        <v>1103576</v>
      </c>
      <c r="S5" s="74">
        <f t="shared" ref="S5:S8" si="3">G5-M5</f>
        <v>12763676.68121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G7+G13+G35+G39+G42+G45+G102+G106</f>
        <v>5070963</v>
      </c>
      <c r="H6" s="42">
        <f>H7+H13+H35+H39+H42+H45+H102+H106</f>
        <v>1538663.1</v>
      </c>
      <c r="I6" s="42">
        <f>I7+I13+I35+I39+I42+I45+I102+I106</f>
        <v>1335715.5999999999</v>
      </c>
      <c r="J6" s="29">
        <f>J7+J13+J35+J39+J42+J45+J102+J106</f>
        <v>1451999.1402</v>
      </c>
      <c r="K6" s="29">
        <f>'1.02.'!M6</f>
        <v>305263.96490999998</v>
      </c>
      <c r="L6" s="42">
        <f>L7+L13+L35+L39+L42+L45+L102+L106</f>
        <v>274880.47521</v>
      </c>
      <c r="M6" s="29">
        <f>M7+M13+M35+M39+M42+M45+M102+M106</f>
        <v>1330063.3825000001</v>
      </c>
      <c r="N6" s="29">
        <f>N7+N13+N35+N39+N42+N45+N102+N106</f>
        <v>5652.2174999999988</v>
      </c>
      <c r="O6" s="66">
        <f t="shared" ref="O6:O70" si="4">M6/I6*100</f>
        <v>99.576839747922406</v>
      </c>
      <c r="P6" s="60">
        <f t="shared" si="1"/>
        <v>121935.75769999996</v>
      </c>
      <c r="Q6" s="29">
        <f t="shared" si="2"/>
        <v>86663.95980000007</v>
      </c>
      <c r="R6" s="74">
        <v>1103577</v>
      </c>
      <c r="S6" s="74">
        <f t="shared" si="3"/>
        <v>3740899.6174999997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587123.5</v>
      </c>
      <c r="I7" s="42">
        <f t="shared" si="5"/>
        <v>586568.5</v>
      </c>
      <c r="J7" s="29">
        <f t="shared" si="5"/>
        <v>586568.40621000004</v>
      </c>
      <c r="K7" s="29">
        <f>'1.02.'!M7</f>
        <v>164988.70772999999</v>
      </c>
      <c r="L7" s="42">
        <f t="shared" si="5"/>
        <v>141990.09392000001</v>
      </c>
      <c r="M7" s="29">
        <f t="shared" si="5"/>
        <v>586568.40621000004</v>
      </c>
      <c r="N7" s="29">
        <f t="shared" si="5"/>
        <v>9.3789999998989515E-2</v>
      </c>
      <c r="O7" s="68">
        <f t="shared" si="4"/>
        <v>99.999984010392652</v>
      </c>
      <c r="P7" s="60">
        <f t="shared" si="1"/>
        <v>0</v>
      </c>
      <c r="Q7" s="29">
        <f t="shared" si="2"/>
        <v>555.09378999995533</v>
      </c>
      <c r="R7" s="74">
        <v>1103578</v>
      </c>
      <c r="S7" s="74">
        <f t="shared" si="3"/>
        <v>1463686.5937899998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560704</v>
      </c>
      <c r="I8" s="59">
        <f t="shared" si="6"/>
        <v>560704</v>
      </c>
      <c r="J8" s="33">
        <f>J9</f>
        <v>560704</v>
      </c>
      <c r="K8" s="29">
        <f>'1.02.'!M8</f>
        <v>150000</v>
      </c>
      <c r="L8" s="29">
        <f t="shared" si="6"/>
        <v>141990.09392000001</v>
      </c>
      <c r="M8" s="60">
        <f t="shared" si="6"/>
        <v>560704</v>
      </c>
      <c r="N8" s="29">
        <f t="shared" si="6"/>
        <v>0</v>
      </c>
      <c r="O8" s="68">
        <f t="shared" si="4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1454270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560704</v>
      </c>
      <c r="I9" s="37">
        <v>560704</v>
      </c>
      <c r="J9" s="75">
        <f>M9</f>
        <v>560704</v>
      </c>
      <c r="K9" s="35">
        <f>'1.05.'!M9</f>
        <v>418713.90607999999</v>
      </c>
      <c r="L9" s="35">
        <v>141990.09392000001</v>
      </c>
      <c r="M9" s="35">
        <f>K9+L9</f>
        <v>560704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1454270</v>
      </c>
      <c r="T9" s="62">
        <f>G9-J9</f>
        <v>1454270</v>
      </c>
    </row>
    <row r="10" spans="1:20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26419.5</v>
      </c>
      <c r="I10" s="59">
        <f t="shared" si="7"/>
        <v>25864.5</v>
      </c>
      <c r="J10" s="33">
        <f>J11+J12</f>
        <v>25864.406210000001</v>
      </c>
      <c r="K10" s="29">
        <f>'1.02.'!M10</f>
        <v>14988.70773</v>
      </c>
      <c r="L10" s="29">
        <f t="shared" si="7"/>
        <v>0</v>
      </c>
      <c r="M10" s="29">
        <f t="shared" si="7"/>
        <v>25864.406210000001</v>
      </c>
      <c r="N10" s="29">
        <f t="shared" si="7"/>
        <v>9.3789999998989515E-2</v>
      </c>
      <c r="O10" s="68">
        <f t="shared" si="4"/>
        <v>99.999637379419667</v>
      </c>
      <c r="P10" s="60">
        <f t="shared" ref="P10:P74" si="8">J10-M10</f>
        <v>0</v>
      </c>
      <c r="Q10" s="29">
        <f t="shared" ref="Q10:Q74" si="9">H10-J10</f>
        <v>555.09378999999899</v>
      </c>
      <c r="R10" s="74">
        <v>1103581</v>
      </c>
      <c r="S10" s="74">
        <f t="shared" ref="S10:S74" si="10">G10-M10</f>
        <v>9416.593789999999</v>
      </c>
      <c r="T10" s="62">
        <f t="shared" ref="T10:T45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'1.05.'!M11</f>
        <v>1190</v>
      </c>
      <c r="L11" s="35"/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'1.05.'!M12</f>
        <v>24674.406210000001</v>
      </c>
      <c r="L12" s="35"/>
      <c r="M12" s="35">
        <f>K12+L12</f>
        <v>24674.406210000001</v>
      </c>
      <c r="N12" s="35">
        <f>I12-M12</f>
        <v>9.3789999998989515E-2</v>
      </c>
      <c r="O12" s="70">
        <f t="shared" si="4"/>
        <v>99.999619890980568</v>
      </c>
      <c r="P12" s="71">
        <f t="shared" si="8"/>
        <v>0</v>
      </c>
      <c r="Q12" s="35">
        <f t="shared" si="9"/>
        <v>9.3789999998989515E-2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51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260651</v>
      </c>
      <c r="H13" s="33">
        <f t="shared" si="12"/>
        <v>120853.9</v>
      </c>
      <c r="I13" s="33">
        <f t="shared" si="12"/>
        <v>115694.7</v>
      </c>
      <c r="J13" s="29">
        <f t="shared" si="12"/>
        <v>120839.73398999998</v>
      </c>
      <c r="K13" s="29">
        <f>'1.02.'!M13</f>
        <v>15275.257180000001</v>
      </c>
      <c r="L13" s="29">
        <f t="shared" si="12"/>
        <v>18076.381289999998</v>
      </c>
      <c r="M13" s="29">
        <f t="shared" si="12"/>
        <v>115679.27628999998</v>
      </c>
      <c r="N13" s="29">
        <f t="shared" si="12"/>
        <v>15.423710000000085</v>
      </c>
      <c r="O13" s="68">
        <f t="shared" si="4"/>
        <v>99.986668611440265</v>
      </c>
      <c r="P13" s="71">
        <f t="shared" si="8"/>
        <v>5160.457699999999</v>
      </c>
      <c r="Q13" s="35">
        <f t="shared" si="9"/>
        <v>14.166010000015376</v>
      </c>
      <c r="R13" s="72">
        <v>1103584</v>
      </c>
      <c r="S13" s="72">
        <f t="shared" si="10"/>
        <v>144971.72371000002</v>
      </c>
      <c r="T13" s="62">
        <f t="shared" si="11"/>
        <v>139811.26601000002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SUM(G15:G34)</f>
        <v>260651</v>
      </c>
      <c r="H14" s="59">
        <f t="shared" ref="H14:K14" si="13">SUM(H15:H34)</f>
        <v>120853.9</v>
      </c>
      <c r="I14" s="59">
        <f t="shared" si="13"/>
        <v>115694.7</v>
      </c>
      <c r="J14" s="29">
        <f t="shared" si="13"/>
        <v>120839.73398999998</v>
      </c>
      <c r="K14" s="29">
        <f t="shared" si="13"/>
        <v>97602.89499999999</v>
      </c>
      <c r="L14" s="29">
        <f>SUM(L15:L34)</f>
        <v>18076.381289999998</v>
      </c>
      <c r="M14" s="29">
        <f t="shared" ref="M14:N14" si="14">SUM(M15:M34)</f>
        <v>115679.27628999998</v>
      </c>
      <c r="N14" s="29">
        <f t="shared" si="14"/>
        <v>15.423710000000085</v>
      </c>
      <c r="O14" s="68">
        <f t="shared" si="4"/>
        <v>99.986668611440265</v>
      </c>
      <c r="P14" s="35">
        <f t="shared" si="8"/>
        <v>5160.457699999999</v>
      </c>
      <c r="Q14" s="35">
        <f t="shared" si="9"/>
        <v>14.166010000015376</v>
      </c>
      <c r="R14" s="72">
        <v>1103585</v>
      </c>
      <c r="S14" s="72">
        <f t="shared" si="10"/>
        <v>144971.72371000002</v>
      </c>
      <c r="T14" s="62">
        <f>G14-J14</f>
        <v>139811.26601000002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121539-1020-413.7</f>
        <v>120105.3</v>
      </c>
      <c r="H15" s="26">
        <v>48566.3</v>
      </c>
      <c r="I15" s="26">
        <v>48566.3</v>
      </c>
      <c r="J15" s="75">
        <f t="shared" ref="J15:J34" si="15">M15</f>
        <v>48566.3</v>
      </c>
      <c r="K15" s="35">
        <f>'1.05.'!M15</f>
        <v>38980</v>
      </c>
      <c r="L15" s="27">
        <v>9586.2999999999993</v>
      </c>
      <c r="M15" s="71">
        <f>K15+L15</f>
        <v>48566.3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71539</v>
      </c>
      <c r="T15" s="62">
        <f t="shared" si="11"/>
        <v>71539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17318+7540+642.7</f>
        <v>25500.7</v>
      </c>
      <c r="H16" s="26">
        <v>25500.7</v>
      </c>
      <c r="I16" s="26">
        <v>25500.7</v>
      </c>
      <c r="J16" s="75">
        <f t="shared" si="15"/>
        <v>25500.61</v>
      </c>
      <c r="K16" s="35">
        <f>'1.05.'!M16</f>
        <v>24154.877</v>
      </c>
      <c r="L16" s="27">
        <v>1345.7329999999999</v>
      </c>
      <c r="M16" s="71">
        <f t="shared" ref="M16:M34" si="16">K16+L16</f>
        <v>25500.61</v>
      </c>
      <c r="N16" s="35">
        <f t="shared" ref="N16:N34" si="17">I16-M16</f>
        <v>9.0000000000145519E-2</v>
      </c>
      <c r="O16" s="70">
        <f t="shared" si="4"/>
        <v>99.999647068511848</v>
      </c>
      <c r="P16" s="71">
        <f t="shared" si="8"/>
        <v>0</v>
      </c>
      <c r="Q16" s="35">
        <f t="shared" si="9"/>
        <v>9.0000000000145519E-2</v>
      </c>
      <c r="R16" s="72">
        <v>1103587</v>
      </c>
      <c r="S16" s="72">
        <f t="shared" si="10"/>
        <v>9.0000000000145519E-2</v>
      </c>
      <c r="T16" s="62">
        <f t="shared" si="11"/>
        <v>9.0000000000145519E-2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7840.2</v>
      </c>
      <c r="I17" s="26">
        <v>7840.2</v>
      </c>
      <c r="J17" s="75">
        <f t="shared" si="15"/>
        <v>7840.2</v>
      </c>
      <c r="K17" s="35">
        <f>'1.05.'!M17</f>
        <v>6101.1139999999996</v>
      </c>
      <c r="L17" s="27">
        <v>1739.086</v>
      </c>
      <c r="M17" s="71">
        <f t="shared" si="16"/>
        <v>7840.2</v>
      </c>
      <c r="N17" s="35">
        <f t="shared" si="17"/>
        <v>0</v>
      </c>
      <c r="O17" s="70">
        <f t="shared" si="4"/>
        <v>100</v>
      </c>
      <c r="P17" s="71">
        <f t="shared" si="8"/>
        <v>0</v>
      </c>
      <c r="Q17" s="35">
        <f t="shared" si="9"/>
        <v>0</v>
      </c>
      <c r="R17" s="72">
        <v>1103588</v>
      </c>
      <c r="S17" s="72">
        <f t="shared" si="10"/>
        <v>12415.8</v>
      </c>
      <c r="T17" s="62">
        <f t="shared" si="11"/>
        <v>12415.8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4860-300-110</f>
        <v>4450</v>
      </c>
      <c r="H18" s="26">
        <v>2005</v>
      </c>
      <c r="I18" s="26">
        <v>2005</v>
      </c>
      <c r="J18" s="75">
        <f t="shared" si="15"/>
        <v>2004.7350000000001</v>
      </c>
      <c r="K18" s="35">
        <f>'1.05.'!M18</f>
        <v>1710</v>
      </c>
      <c r="L18" s="27">
        <v>294.73500000000001</v>
      </c>
      <c r="M18" s="71">
        <f>K18+L18</f>
        <v>2004.7350000000001</v>
      </c>
      <c r="N18" s="35">
        <f>I18-M18</f>
        <v>0.26499999999987267</v>
      </c>
      <c r="O18" s="70">
        <f>M18/I18*100</f>
        <v>99.986783042394023</v>
      </c>
      <c r="P18" s="71">
        <f t="shared" si="8"/>
        <v>0</v>
      </c>
      <c r="Q18" s="35">
        <f t="shared" si="9"/>
        <v>0.26499999999987267</v>
      </c>
      <c r="R18" s="72">
        <v>1103589</v>
      </c>
      <c r="S18" s="72">
        <f t="shared" si="10"/>
        <v>2445.2649999999999</v>
      </c>
      <c r="T18" s="62">
        <f t="shared" si="11"/>
        <v>2445.2649999999999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3896</v>
      </c>
      <c r="I19" s="26">
        <v>3896</v>
      </c>
      <c r="J19" s="75">
        <f t="shared" si="15"/>
        <v>3896</v>
      </c>
      <c r="K19" s="35">
        <f>'1.05.'!M19</f>
        <v>3264</v>
      </c>
      <c r="L19" s="27">
        <v>632</v>
      </c>
      <c r="M19" s="71">
        <f t="shared" si="16"/>
        <v>3896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4435</v>
      </c>
      <c r="T19" s="62">
        <f t="shared" si="11"/>
        <v>4435</v>
      </c>
    </row>
    <row r="20" spans="1:20" s="73" customFormat="1" ht="25.5">
      <c r="A20" s="9"/>
      <c r="B20" s="9"/>
      <c r="C20" s="9"/>
      <c r="D20" s="69"/>
      <c r="E20" s="69">
        <v>122</v>
      </c>
      <c r="F20" s="136" t="s">
        <v>91</v>
      </c>
      <c r="G20" s="26">
        <f>6943-520-65</f>
        <v>6358</v>
      </c>
      <c r="H20" s="26">
        <v>2784</v>
      </c>
      <c r="I20" s="26">
        <v>2784</v>
      </c>
      <c r="J20" s="75">
        <f t="shared" si="15"/>
        <v>2779.4576400000001</v>
      </c>
      <c r="K20" s="35">
        <f>'1.05.'!M20</f>
        <v>2319.431</v>
      </c>
      <c r="L20" s="27">
        <v>460.02663999999999</v>
      </c>
      <c r="M20" s="71">
        <f t="shared" si="16"/>
        <v>2779.4576400000001</v>
      </c>
      <c r="N20" s="35">
        <f t="shared" si="17"/>
        <v>4.5423599999999169</v>
      </c>
      <c r="O20" s="70">
        <f t="shared" si="4"/>
        <v>99.836840517241384</v>
      </c>
      <c r="P20" s="71">
        <f t="shared" si="8"/>
        <v>0</v>
      </c>
      <c r="Q20" s="35">
        <f t="shared" si="9"/>
        <v>4.5423599999999169</v>
      </c>
      <c r="R20" s="72">
        <v>1103591</v>
      </c>
      <c r="S20" s="72">
        <f t="shared" si="10"/>
        <v>3578.5423599999999</v>
      </c>
      <c r="T20" s="62">
        <f t="shared" si="11"/>
        <v>3578.5423599999999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5"/>
        <v>0</v>
      </c>
      <c r="K21" s="35">
        <f>'1.05.'!M21</f>
        <v>0</v>
      </c>
      <c r="L21" s="27"/>
      <c r="M21" s="71">
        <f t="shared" si="16"/>
        <v>0</v>
      </c>
      <c r="N21" s="35">
        <f t="shared" si="17"/>
        <v>0</v>
      </c>
      <c r="O21" s="70" t="e">
        <f t="shared" si="4"/>
        <v>#DIV/0!</v>
      </c>
      <c r="P21" s="71">
        <f t="shared" si="8"/>
        <v>0</v>
      </c>
      <c r="Q21" s="35">
        <f t="shared" si="9"/>
        <v>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4166-200-54</f>
        <v>3912</v>
      </c>
      <c r="H22" s="26">
        <v>1766</v>
      </c>
      <c r="I22" s="26">
        <v>1766</v>
      </c>
      <c r="J22" s="75">
        <f t="shared" si="15"/>
        <v>1765.3718399999998</v>
      </c>
      <c r="K22" s="35">
        <f>'1.05.'!M22</f>
        <v>1519.0059999999999</v>
      </c>
      <c r="L22" s="27">
        <v>246.36583999999999</v>
      </c>
      <c r="M22" s="71">
        <f t="shared" si="16"/>
        <v>1765.3718399999998</v>
      </c>
      <c r="N22" s="35">
        <f t="shared" si="17"/>
        <v>0.62816000000020722</v>
      </c>
      <c r="O22" s="70">
        <f t="shared" si="4"/>
        <v>99.964430351075862</v>
      </c>
      <c r="P22" s="71">
        <f t="shared" si="8"/>
        <v>0</v>
      </c>
      <c r="Q22" s="35">
        <f t="shared" si="9"/>
        <v>0.62816000000020722</v>
      </c>
      <c r="R22" s="72">
        <v>1103593</v>
      </c>
      <c r="S22" s="72">
        <f t="shared" si="10"/>
        <v>2146.6281600000002</v>
      </c>
      <c r="T22" s="62">
        <f t="shared" si="11"/>
        <v>2146.6281600000002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7218</v>
      </c>
      <c r="I23" s="26">
        <v>7218</v>
      </c>
      <c r="J23" s="75">
        <f t="shared" si="15"/>
        <v>7218</v>
      </c>
      <c r="K23" s="35">
        <f>'1.05.'!M23</f>
        <v>6018</v>
      </c>
      <c r="L23" s="27">
        <v>1200</v>
      </c>
      <c r="M23" s="71">
        <f t="shared" si="16"/>
        <v>7218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12115</v>
      </c>
      <c r="T23" s="62">
        <f t="shared" si="11"/>
        <v>12115</v>
      </c>
    </row>
    <row r="24" spans="1:20" s="73" customFormat="1" ht="25.5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884</v>
      </c>
      <c r="I24" s="26">
        <v>884</v>
      </c>
      <c r="J24" s="75">
        <f t="shared" si="15"/>
        <v>884</v>
      </c>
      <c r="K24" s="35">
        <f>'1.05.'!M24</f>
        <v>749</v>
      </c>
      <c r="L24" s="27">
        <v>135</v>
      </c>
      <c r="M24" s="71">
        <f t="shared" si="16"/>
        <v>884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2245</v>
      </c>
      <c r="T24" s="62">
        <f t="shared" si="11"/>
        <v>2245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'1.05.'!M25</f>
        <v>0</v>
      </c>
      <c r="L25" s="27"/>
      <c r="M25" s="71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'1.05.'!M26</f>
        <v>2074.99856</v>
      </c>
      <c r="L26" s="27"/>
      <c r="M26" s="71">
        <f t="shared" si="16"/>
        <v>2074.99856</v>
      </c>
      <c r="N26" s="35">
        <f t="shared" si="17"/>
        <v>1.4400000000023283E-3</v>
      </c>
      <c r="O26" s="70">
        <f t="shared" si="4"/>
        <v>99.999930602409634</v>
      </c>
      <c r="P26" s="71">
        <f t="shared" si="8"/>
        <v>0</v>
      </c>
      <c r="Q26" s="35">
        <f t="shared" si="9"/>
        <v>1.4400000000023283E-3</v>
      </c>
      <c r="R26" s="72">
        <v>1103597</v>
      </c>
      <c r="S26" s="72">
        <f t="shared" si="10"/>
        <v>1.4400000000023283E-3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280.2</v>
      </c>
      <c r="I27" s="26">
        <v>280.2</v>
      </c>
      <c r="J27" s="75">
        <f>M27</f>
        <v>280.14</v>
      </c>
      <c r="K27" s="35">
        <f>'1.05.'!M27</f>
        <v>154.1404</v>
      </c>
      <c r="L27" s="27">
        <v>125.9996</v>
      </c>
      <c r="M27" s="35">
        <f t="shared" si="16"/>
        <v>280.14</v>
      </c>
      <c r="N27" s="35">
        <f t="shared" si="17"/>
        <v>6.0000000000002274E-2</v>
      </c>
      <c r="O27" s="70">
        <f t="shared" si="4"/>
        <v>99.978586723768743</v>
      </c>
      <c r="P27" s="71">
        <f t="shared" si="8"/>
        <v>0</v>
      </c>
      <c r="Q27" s="35">
        <f t="shared" si="9"/>
        <v>6.0000000000002274E-2</v>
      </c>
      <c r="R27" s="72">
        <v>1103598</v>
      </c>
      <c r="S27" s="72">
        <f t="shared" si="10"/>
        <v>3889.86</v>
      </c>
      <c r="T27" s="62">
        <f t="shared" si="11"/>
        <v>3889.86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6031</v>
      </c>
      <c r="I28" s="26">
        <v>6031</v>
      </c>
      <c r="J28" s="75">
        <f t="shared" si="15"/>
        <v>6030.7726000000002</v>
      </c>
      <c r="K28" s="35">
        <f>'1.05.'!M28</f>
        <v>5395.9698200000003</v>
      </c>
      <c r="L28" s="27">
        <v>634.80277999999998</v>
      </c>
      <c r="M28" s="35">
        <f t="shared" si="16"/>
        <v>6030.7726000000002</v>
      </c>
      <c r="N28" s="35">
        <f t="shared" si="17"/>
        <v>0.22739999999976135</v>
      </c>
      <c r="O28" s="70">
        <f t="shared" si="4"/>
        <v>99.996229481014765</v>
      </c>
      <c r="P28" s="71">
        <f t="shared" si="8"/>
        <v>0</v>
      </c>
      <c r="Q28" s="35">
        <f t="shared" si="9"/>
        <v>0.22739999999976135</v>
      </c>
      <c r="R28" s="72">
        <v>1103599</v>
      </c>
      <c r="S28" s="72">
        <f t="shared" si="10"/>
        <v>4702.2273999999998</v>
      </c>
      <c r="T28" s="62">
        <f t="shared" si="11"/>
        <v>4702.2273999999998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>
        <v>5416.5</v>
      </c>
      <c r="I29" s="26">
        <v>1576</v>
      </c>
      <c r="J29" s="75">
        <v>5416.4143599999998</v>
      </c>
      <c r="K29" s="35">
        <f>'1.05.'!M29</f>
        <v>1173.4851199999998</v>
      </c>
      <c r="L29" s="27">
        <v>402.51488000000001</v>
      </c>
      <c r="M29" s="71">
        <f t="shared" si="16"/>
        <v>1575.9999999999998</v>
      </c>
      <c r="N29" s="35">
        <f t="shared" si="17"/>
        <v>0</v>
      </c>
      <c r="O29" s="70">
        <f t="shared" si="4"/>
        <v>99.999999999999986</v>
      </c>
      <c r="P29" s="71">
        <f t="shared" si="8"/>
        <v>3840.4143599999998</v>
      </c>
      <c r="Q29" s="35">
        <f t="shared" si="9"/>
        <v>8.5640000000239525E-2</v>
      </c>
      <c r="R29" s="72">
        <v>1103600</v>
      </c>
      <c r="S29" s="72">
        <f t="shared" si="10"/>
        <v>5726</v>
      </c>
      <c r="T29" s="62">
        <f t="shared" si="11"/>
        <v>1885.5856400000002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305</v>
      </c>
      <c r="J30" s="75">
        <v>730</v>
      </c>
      <c r="K30" s="35">
        <f>'1.05.'!M30</f>
        <v>243.33199999999999</v>
      </c>
      <c r="L30" s="27">
        <v>60.832999999999998</v>
      </c>
      <c r="M30" s="71">
        <f t="shared" si="16"/>
        <v>304.16499999999996</v>
      </c>
      <c r="N30" s="35">
        <f t="shared" si="17"/>
        <v>0.83500000000003638</v>
      </c>
      <c r="O30" s="70">
        <f t="shared" si="4"/>
        <v>99.72622950819671</v>
      </c>
      <c r="P30" s="71">
        <f t="shared" si="8"/>
        <v>425.83500000000004</v>
      </c>
      <c r="Q30" s="35">
        <f t="shared" si="9"/>
        <v>0</v>
      </c>
      <c r="R30" s="72">
        <v>1103601</v>
      </c>
      <c r="S30" s="72">
        <f t="shared" si="10"/>
        <v>425.83500000000004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</f>
        <v>3099</v>
      </c>
      <c r="H31" s="26">
        <v>2411</v>
      </c>
      <c r="I31" s="26">
        <v>1517.3</v>
      </c>
      <c r="J31" s="35">
        <v>2410.9999899999998</v>
      </c>
      <c r="K31" s="35">
        <f>'1.05.'!M31</f>
        <v>1295.5410999999999</v>
      </c>
      <c r="L31" s="27">
        <v>221.25055</v>
      </c>
      <c r="M31" s="71">
        <f t="shared" si="16"/>
        <v>1516.7916499999999</v>
      </c>
      <c r="N31" s="35">
        <f t="shared" si="17"/>
        <v>0.50835000000006403</v>
      </c>
      <c r="O31" s="70">
        <f t="shared" si="4"/>
        <v>99.96649640809332</v>
      </c>
      <c r="P31" s="71">
        <f t="shared" si="8"/>
        <v>894.20833999999991</v>
      </c>
      <c r="Q31" s="35">
        <f t="shared" si="9"/>
        <v>1.0000000202126103E-5</v>
      </c>
      <c r="R31" s="72">
        <v>1103602</v>
      </c>
      <c r="S31" s="72">
        <f t="shared" si="10"/>
        <v>1582.2083500000001</v>
      </c>
      <c r="T31" s="62">
        <f t="shared" si="11"/>
        <v>688.0000100000002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27054-450-5500-5</f>
        <v>21099</v>
      </c>
      <c r="H32" s="26">
        <v>3445</v>
      </c>
      <c r="I32" s="26">
        <v>3445</v>
      </c>
      <c r="J32" s="75">
        <f t="shared" si="15"/>
        <v>3436.7339999999999</v>
      </c>
      <c r="K32" s="35">
        <f>'1.05.'!M32</f>
        <v>2450</v>
      </c>
      <c r="L32" s="27">
        <v>986.73400000000004</v>
      </c>
      <c r="M32" s="71">
        <f t="shared" si="16"/>
        <v>3436.7339999999999</v>
      </c>
      <c r="N32" s="35">
        <f t="shared" si="17"/>
        <v>8.2660000000000764</v>
      </c>
      <c r="O32" s="70">
        <f t="shared" si="4"/>
        <v>99.760058055152385</v>
      </c>
      <c r="P32" s="71">
        <f t="shared" si="8"/>
        <v>0</v>
      </c>
      <c r="Q32" s="35">
        <f t="shared" si="9"/>
        <v>8.2660000000000764</v>
      </c>
      <c r="R32" s="72">
        <v>1103603</v>
      </c>
      <c r="S32" s="72">
        <f t="shared" si="10"/>
        <v>17662.266</v>
      </c>
      <c r="T32" s="62">
        <f t="shared" si="11"/>
        <v>17662.266</v>
      </c>
    </row>
    <row r="33" spans="1:20" s="73" customFormat="1">
      <c r="A33" s="9"/>
      <c r="B33" s="9"/>
      <c r="C33" s="9"/>
      <c r="D33" s="69"/>
      <c r="E33" s="69">
        <v>168</v>
      </c>
      <c r="F33" s="136" t="s">
        <v>167</v>
      </c>
      <c r="G33" s="26">
        <v>5</v>
      </c>
      <c r="H33" s="26">
        <v>5</v>
      </c>
      <c r="I33" s="26">
        <v>5</v>
      </c>
      <c r="J33" s="75">
        <f t="shared" si="15"/>
        <v>5</v>
      </c>
      <c r="K33" s="35"/>
      <c r="L33" s="27">
        <v>5</v>
      </c>
      <c r="M33" s="71">
        <f t="shared" ref="M33" si="18">K33+L33</f>
        <v>5</v>
      </c>
      <c r="N33" s="35">
        <f t="shared" ref="N33" si="19">I33-M33</f>
        <v>0</v>
      </c>
      <c r="O33" s="70">
        <f t="shared" ref="O33" si="20">M33/I33*100</f>
        <v>100</v>
      </c>
      <c r="P33" s="71">
        <f t="shared" ref="P33" si="21">J33-M33</f>
        <v>0</v>
      </c>
      <c r="Q33" s="35">
        <f t="shared" ref="Q33" si="22">H33-J33</f>
        <v>0</v>
      </c>
      <c r="R33" s="72">
        <v>1103604</v>
      </c>
      <c r="S33" s="72">
        <f t="shared" ref="S33" si="23">G33-M33</f>
        <v>0</v>
      </c>
      <c r="T33" s="62"/>
    </row>
    <row r="34" spans="1:20" s="73" customFormat="1">
      <c r="A34" s="9"/>
      <c r="B34" s="9"/>
      <c r="C34" s="9"/>
      <c r="D34" s="69"/>
      <c r="E34" s="69">
        <v>169</v>
      </c>
      <c r="F34" s="136" t="s">
        <v>103</v>
      </c>
      <c r="G34" s="26"/>
      <c r="H34" s="26"/>
      <c r="I34" s="26"/>
      <c r="J34" s="75">
        <f t="shared" si="15"/>
        <v>0</v>
      </c>
      <c r="K34" s="35">
        <f>'1.05.'!M33</f>
        <v>0</v>
      </c>
      <c r="L34" s="27"/>
      <c r="M34" s="71">
        <f t="shared" si="16"/>
        <v>0</v>
      </c>
      <c r="N34" s="35">
        <f t="shared" si="17"/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1103604</v>
      </c>
      <c r="S34" s="72">
        <f t="shared" si="10"/>
        <v>0</v>
      </c>
      <c r="T34" s="62">
        <f t="shared" si="11"/>
        <v>0</v>
      </c>
    </row>
    <row r="35" spans="1:20" hidden="1">
      <c r="A35" s="9"/>
      <c r="B35" s="9"/>
      <c r="C35" s="8" t="s">
        <v>16</v>
      </c>
      <c r="D35" s="69"/>
      <c r="E35" s="69"/>
      <c r="F35" s="77" t="s">
        <v>18</v>
      </c>
      <c r="G35" s="23">
        <f>G36+G37+G38</f>
        <v>0</v>
      </c>
      <c r="H35" s="23">
        <f t="shared" ref="H35:M35" si="24">H36+H37+H38</f>
        <v>0</v>
      </c>
      <c r="I35" s="23">
        <f t="shared" si="24"/>
        <v>0</v>
      </c>
      <c r="J35" s="23">
        <f t="shared" si="24"/>
        <v>0</v>
      </c>
      <c r="K35" s="35">
        <f>'1.05.'!M34</f>
        <v>0</v>
      </c>
      <c r="L35" s="24">
        <f t="shared" si="24"/>
        <v>0</v>
      </c>
      <c r="M35" s="38">
        <f t="shared" si="24"/>
        <v>0</v>
      </c>
      <c r="N35" s="24">
        <f>N36+N37+N38</f>
        <v>0</v>
      </c>
      <c r="O35" s="70" t="e">
        <f t="shared" si="4"/>
        <v>#DIV/0!</v>
      </c>
      <c r="P35" s="71">
        <f t="shared" si="8"/>
        <v>0</v>
      </c>
      <c r="Q35" s="35">
        <f t="shared" si="9"/>
        <v>0</v>
      </c>
      <c r="R35" s="72">
        <v>1103605</v>
      </c>
      <c r="S35" s="72">
        <f t="shared" si="10"/>
        <v>0</v>
      </c>
      <c r="T35" s="62">
        <f t="shared" si="11"/>
        <v>0</v>
      </c>
    </row>
    <row r="36" spans="1:20" hidden="1">
      <c r="A36" s="9"/>
      <c r="B36" s="9"/>
      <c r="C36" s="8"/>
      <c r="D36" s="69"/>
      <c r="E36" s="69">
        <v>413</v>
      </c>
      <c r="F36" s="78" t="s">
        <v>17</v>
      </c>
      <c r="G36" s="26"/>
      <c r="H36" s="26"/>
      <c r="I36" s="26"/>
      <c r="J36" s="105"/>
      <c r="K36" s="35">
        <f>'1.05.'!M35</f>
        <v>0</v>
      </c>
      <c r="L36" s="27"/>
      <c r="M36" s="71">
        <f t="shared" ref="M36:M38" si="25">K36+L36</f>
        <v>0</v>
      </c>
      <c r="N36" s="27"/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1103606</v>
      </c>
      <c r="S36" s="72">
        <f t="shared" si="10"/>
        <v>0</v>
      </c>
      <c r="T36" s="62">
        <f t="shared" si="11"/>
        <v>0</v>
      </c>
    </row>
    <row r="37" spans="1:20" ht="25.5" hidden="1">
      <c r="A37" s="9"/>
      <c r="B37" s="9"/>
      <c r="C37" s="9"/>
      <c r="D37" s="69"/>
      <c r="E37" s="69">
        <v>414</v>
      </c>
      <c r="F37" s="86" t="s">
        <v>64</v>
      </c>
      <c r="G37" s="26"/>
      <c r="H37" s="26"/>
      <c r="I37" s="26"/>
      <c r="J37" s="105">
        <f>M37</f>
        <v>0</v>
      </c>
      <c r="K37" s="35">
        <f>'1.05.'!M36</f>
        <v>0</v>
      </c>
      <c r="L37" s="27"/>
      <c r="M37" s="71">
        <f t="shared" si="25"/>
        <v>0</v>
      </c>
      <c r="N37" s="35">
        <f t="shared" ref="N37:N38" si="26">I37-M37</f>
        <v>0</v>
      </c>
      <c r="O37" s="70" t="e">
        <f t="shared" si="4"/>
        <v>#DIV/0!</v>
      </c>
      <c r="P37" s="71">
        <f t="shared" si="8"/>
        <v>0</v>
      </c>
      <c r="Q37" s="35">
        <f t="shared" si="9"/>
        <v>0</v>
      </c>
      <c r="R37" s="72">
        <v>1103607</v>
      </c>
      <c r="S37" s="72">
        <f t="shared" si="10"/>
        <v>0</v>
      </c>
      <c r="T37" s="62">
        <f t="shared" si="11"/>
        <v>0</v>
      </c>
    </row>
    <row r="38" spans="1:20" hidden="1">
      <c r="A38" s="9"/>
      <c r="B38" s="9"/>
      <c r="C38" s="9"/>
      <c r="D38" s="69"/>
      <c r="E38" s="69">
        <v>419</v>
      </c>
      <c r="F38" s="86" t="s">
        <v>57</v>
      </c>
      <c r="G38" s="26"/>
      <c r="H38" s="26"/>
      <c r="I38" s="26"/>
      <c r="J38" s="105">
        <f>M38</f>
        <v>0</v>
      </c>
      <c r="K38" s="35">
        <f>'1.05.'!M37</f>
        <v>0</v>
      </c>
      <c r="L38" s="27"/>
      <c r="M38" s="71">
        <f t="shared" si="25"/>
        <v>0</v>
      </c>
      <c r="N38" s="35">
        <f t="shared" si="26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1103608</v>
      </c>
      <c r="S38" s="72">
        <f t="shared" si="10"/>
        <v>0</v>
      </c>
    </row>
    <row r="39" spans="1:20" ht="25.5">
      <c r="A39" s="9"/>
      <c r="B39" s="9"/>
      <c r="C39" s="8" t="s">
        <v>15</v>
      </c>
      <c r="D39" s="21"/>
      <c r="E39" s="21"/>
      <c r="F39" s="120" t="s">
        <v>106</v>
      </c>
      <c r="G39" s="59">
        <f t="shared" ref="G39:N39" si="27">G40</f>
        <v>10400</v>
      </c>
      <c r="H39" s="59">
        <f t="shared" si="27"/>
        <v>10400</v>
      </c>
      <c r="I39" s="59">
        <f>I40</f>
        <v>0</v>
      </c>
      <c r="J39" s="33">
        <f t="shared" si="27"/>
        <v>0</v>
      </c>
      <c r="K39" s="35">
        <f>'1.02.'!M38</f>
        <v>0</v>
      </c>
      <c r="L39" s="29">
        <f t="shared" si="27"/>
        <v>0</v>
      </c>
      <c r="M39" s="29">
        <f t="shared" si="27"/>
        <v>0</v>
      </c>
      <c r="N39" s="29">
        <f t="shared" si="27"/>
        <v>0</v>
      </c>
      <c r="O39" s="70" t="e">
        <f t="shared" si="4"/>
        <v>#DIV/0!</v>
      </c>
      <c r="P39" s="71">
        <f t="shared" si="8"/>
        <v>0</v>
      </c>
      <c r="Q39" s="35">
        <f t="shared" si="9"/>
        <v>10400</v>
      </c>
      <c r="R39" s="72">
        <v>1103609</v>
      </c>
      <c r="S39" s="72">
        <f t="shared" si="10"/>
        <v>10400</v>
      </c>
      <c r="T39" s="62">
        <f t="shared" si="11"/>
        <v>10400</v>
      </c>
    </row>
    <row r="40" spans="1:20">
      <c r="A40" s="9"/>
      <c r="B40" s="9"/>
      <c r="C40" s="8"/>
      <c r="D40" s="54" t="s">
        <v>35</v>
      </c>
      <c r="E40" s="69"/>
      <c r="F40" s="122"/>
      <c r="G40" s="37">
        <f>G41</f>
        <v>10400</v>
      </c>
      <c r="H40" s="37">
        <f>H41</f>
        <v>10400</v>
      </c>
      <c r="I40" s="37">
        <f>I41</f>
        <v>0</v>
      </c>
      <c r="J40" s="75">
        <f>J41</f>
        <v>0</v>
      </c>
      <c r="K40" s="35">
        <f>'1.02.'!M39</f>
        <v>0</v>
      </c>
      <c r="L40" s="35"/>
      <c r="M40" s="71">
        <f>M41</f>
        <v>0</v>
      </c>
      <c r="N40" s="35">
        <f>N41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10400</v>
      </c>
      <c r="R40" s="72">
        <v>1103610</v>
      </c>
      <c r="S40" s="72">
        <f t="shared" si="10"/>
        <v>10400</v>
      </c>
      <c r="T40" s="62">
        <f t="shared" si="11"/>
        <v>10400</v>
      </c>
    </row>
    <row r="41" spans="1:20" ht="25.5">
      <c r="A41" s="9"/>
      <c r="B41" s="9"/>
      <c r="C41" s="9"/>
      <c r="D41" s="69"/>
      <c r="E41" s="69">
        <v>155</v>
      </c>
      <c r="F41" s="117" t="s">
        <v>107</v>
      </c>
      <c r="G41" s="37">
        <v>10400</v>
      </c>
      <c r="H41" s="37">
        <v>10400</v>
      </c>
      <c r="I41" s="37">
        <v>0</v>
      </c>
      <c r="J41" s="75">
        <f>M41</f>
        <v>0</v>
      </c>
      <c r="K41" s="35">
        <f>'1.02.'!M40</f>
        <v>0</v>
      </c>
      <c r="L41" s="35"/>
      <c r="M41" s="71">
        <f t="shared" ref="M41" si="28">K41+L41</f>
        <v>0</v>
      </c>
      <c r="N41" s="35">
        <f t="shared" ref="N41" si="29">I41-M41</f>
        <v>0</v>
      </c>
      <c r="O41" s="70" t="e">
        <f t="shared" si="4"/>
        <v>#DIV/0!</v>
      </c>
      <c r="P41" s="71">
        <f t="shared" si="8"/>
        <v>0</v>
      </c>
      <c r="Q41" s="35">
        <f t="shared" si="9"/>
        <v>10400</v>
      </c>
      <c r="R41" s="72">
        <v>1103611</v>
      </c>
      <c r="S41" s="72">
        <f t="shared" si="10"/>
        <v>10400</v>
      </c>
      <c r="T41" s="62">
        <f t="shared" si="11"/>
        <v>10400</v>
      </c>
    </row>
    <row r="42" spans="1:20" ht="51">
      <c r="A42" s="118"/>
      <c r="B42" s="118"/>
      <c r="C42" s="119" t="s">
        <v>61</v>
      </c>
      <c r="D42" s="116"/>
      <c r="E42" s="116"/>
      <c r="F42" s="120" t="s">
        <v>62</v>
      </c>
      <c r="G42" s="37">
        <f t="shared" ref="G42:J43" si="30">G43</f>
        <v>1064315</v>
      </c>
      <c r="H42" s="37">
        <f t="shared" si="30"/>
        <v>5636.7</v>
      </c>
      <c r="I42" s="37">
        <f t="shared" si="30"/>
        <v>5636.7</v>
      </c>
      <c r="J42" s="75">
        <f t="shared" si="30"/>
        <v>0</v>
      </c>
      <c r="K42" s="35">
        <f>'1.02.'!M41</f>
        <v>0</v>
      </c>
      <c r="L42" s="35"/>
      <c r="M42" s="71">
        <f t="shared" ref="M42:N43" si="31">M43</f>
        <v>0</v>
      </c>
      <c r="N42" s="35">
        <f t="shared" si="31"/>
        <v>5636.7</v>
      </c>
      <c r="O42" s="70">
        <f t="shared" si="4"/>
        <v>0</v>
      </c>
      <c r="P42" s="71">
        <f t="shared" si="8"/>
        <v>0</v>
      </c>
      <c r="Q42" s="35">
        <f t="shared" si="9"/>
        <v>5636.7</v>
      </c>
      <c r="R42" s="72">
        <v>1103612</v>
      </c>
      <c r="S42" s="72">
        <f t="shared" si="10"/>
        <v>1064315</v>
      </c>
    </row>
    <row r="43" spans="1:20">
      <c r="A43" s="118"/>
      <c r="B43" s="118"/>
      <c r="C43" s="116"/>
      <c r="D43" s="121" t="s">
        <v>35</v>
      </c>
      <c r="E43" s="118"/>
      <c r="F43" s="122"/>
      <c r="G43" s="37">
        <f t="shared" si="30"/>
        <v>1064315</v>
      </c>
      <c r="H43" s="37">
        <f t="shared" si="30"/>
        <v>5636.7</v>
      </c>
      <c r="I43" s="37">
        <f t="shared" si="30"/>
        <v>5636.7</v>
      </c>
      <c r="J43" s="75">
        <f t="shared" si="30"/>
        <v>0</v>
      </c>
      <c r="K43" s="35">
        <f>'1.02.'!M42</f>
        <v>0</v>
      </c>
      <c r="L43" s="35"/>
      <c r="M43" s="71">
        <f t="shared" si="31"/>
        <v>0</v>
      </c>
      <c r="N43" s="35">
        <f t="shared" si="31"/>
        <v>5636.7</v>
      </c>
      <c r="O43" s="70">
        <f t="shared" si="4"/>
        <v>0</v>
      </c>
      <c r="P43" s="71">
        <f t="shared" si="8"/>
        <v>0</v>
      </c>
      <c r="Q43" s="35">
        <f t="shared" si="9"/>
        <v>5636.7</v>
      </c>
      <c r="R43" s="72">
        <v>1103613</v>
      </c>
      <c r="S43" s="72">
        <f t="shared" si="10"/>
        <v>1064315</v>
      </c>
    </row>
    <row r="44" spans="1:20" ht="25.5">
      <c r="A44" s="118"/>
      <c r="B44" s="118"/>
      <c r="C44" s="118"/>
      <c r="D44" s="118"/>
      <c r="E44" s="118">
        <v>361</v>
      </c>
      <c r="F44" s="117" t="s">
        <v>63</v>
      </c>
      <c r="G44" s="37">
        <v>1064315</v>
      </c>
      <c r="H44" s="37">
        <v>5636.7</v>
      </c>
      <c r="I44" s="37">
        <v>5636.7</v>
      </c>
      <c r="J44" s="75">
        <f>M44</f>
        <v>0</v>
      </c>
      <c r="K44" s="35">
        <f>'1.02.'!M43</f>
        <v>0</v>
      </c>
      <c r="L44" s="35"/>
      <c r="M44" s="71">
        <f t="shared" ref="M44" si="32">K44+L44</f>
        <v>0</v>
      </c>
      <c r="N44" s="35">
        <f t="shared" ref="N44" si="33">I44-M44</f>
        <v>5636.7</v>
      </c>
      <c r="O44" s="70">
        <f t="shared" si="4"/>
        <v>0</v>
      </c>
      <c r="P44" s="71">
        <f t="shared" si="8"/>
        <v>0</v>
      </c>
      <c r="Q44" s="35">
        <f t="shared" si="9"/>
        <v>5636.7</v>
      </c>
      <c r="R44" s="72">
        <v>1103614</v>
      </c>
      <c r="S44" s="72">
        <f t="shared" si="10"/>
        <v>1064315</v>
      </c>
    </row>
    <row r="45" spans="1:20" s="73" customFormat="1" ht="25.5">
      <c r="A45" s="8"/>
      <c r="B45" s="8"/>
      <c r="C45" s="8" t="s">
        <v>21</v>
      </c>
      <c r="D45" s="10"/>
      <c r="E45" s="10"/>
      <c r="F45" s="137" t="s">
        <v>108</v>
      </c>
      <c r="G45" s="81">
        <f>G46</f>
        <v>1464726</v>
      </c>
      <c r="H45" s="81">
        <f t="shared" ref="H45:N46" si="34">H46</f>
        <v>693424</v>
      </c>
      <c r="I45" s="81">
        <f t="shared" si="34"/>
        <v>623366</v>
      </c>
      <c r="J45" s="81">
        <f t="shared" si="34"/>
        <v>623366</v>
      </c>
      <c r="K45" s="29">
        <f>'1.02.'!M44</f>
        <v>125000</v>
      </c>
      <c r="L45" s="81">
        <f t="shared" si="34"/>
        <v>113711</v>
      </c>
      <c r="M45" s="81">
        <f t="shared" si="34"/>
        <v>623366</v>
      </c>
      <c r="N45" s="81">
        <f t="shared" si="34"/>
        <v>0</v>
      </c>
      <c r="O45" s="68">
        <f t="shared" si="4"/>
        <v>100</v>
      </c>
      <c r="P45" s="71">
        <f t="shared" si="8"/>
        <v>0</v>
      </c>
      <c r="Q45" s="35">
        <f t="shared" si="9"/>
        <v>70058</v>
      </c>
      <c r="R45" s="72">
        <v>1103615</v>
      </c>
      <c r="S45" s="72">
        <f t="shared" si="10"/>
        <v>841360</v>
      </c>
      <c r="T45" s="62">
        <f t="shared" si="11"/>
        <v>841360</v>
      </c>
    </row>
    <row r="46" spans="1:20" s="73" customFormat="1">
      <c r="A46" s="8"/>
      <c r="B46" s="8"/>
      <c r="C46" s="8"/>
      <c r="D46" s="43" t="s">
        <v>7</v>
      </c>
      <c r="E46" s="44"/>
      <c r="F46" s="135" t="s">
        <v>85</v>
      </c>
      <c r="G46" s="82">
        <f>G47</f>
        <v>1464726</v>
      </c>
      <c r="H46" s="82">
        <f t="shared" si="34"/>
        <v>693424</v>
      </c>
      <c r="I46" s="82">
        <f t="shared" si="34"/>
        <v>623366</v>
      </c>
      <c r="J46" s="82">
        <f t="shared" si="34"/>
        <v>623366</v>
      </c>
      <c r="K46" s="29">
        <f>'1.02.'!M45</f>
        <v>125000</v>
      </c>
      <c r="L46" s="82">
        <f t="shared" si="34"/>
        <v>113711</v>
      </c>
      <c r="M46" s="82">
        <f t="shared" si="34"/>
        <v>623366</v>
      </c>
      <c r="N46" s="82">
        <f t="shared" si="34"/>
        <v>0</v>
      </c>
      <c r="O46" s="70">
        <f t="shared" si="4"/>
        <v>100</v>
      </c>
      <c r="P46" s="71">
        <f t="shared" si="8"/>
        <v>0</v>
      </c>
      <c r="Q46" s="35">
        <f t="shared" si="9"/>
        <v>70058</v>
      </c>
      <c r="R46" s="72">
        <v>1103616</v>
      </c>
      <c r="S46" s="72">
        <f t="shared" si="10"/>
        <v>841360</v>
      </c>
      <c r="T46" s="62"/>
    </row>
    <row r="47" spans="1:20" s="73" customFormat="1" ht="25.5">
      <c r="A47" s="8"/>
      <c r="B47" s="8"/>
      <c r="C47" s="8"/>
      <c r="D47" s="45"/>
      <c r="E47" s="46">
        <v>339</v>
      </c>
      <c r="F47" s="138" t="s">
        <v>109</v>
      </c>
      <c r="G47" s="84">
        <f>SUM(G48:G55)</f>
        <v>1464726</v>
      </c>
      <c r="H47" s="84">
        <f t="shared" ref="H47:J47" si="35">SUM(H48:H55)</f>
        <v>693424</v>
      </c>
      <c r="I47" s="84">
        <f>SUM(I48:I55)</f>
        <v>623366</v>
      </c>
      <c r="J47" s="108">
        <f t="shared" si="35"/>
        <v>623366</v>
      </c>
      <c r="K47" s="35">
        <f>'1.02.'!M46</f>
        <v>125000</v>
      </c>
      <c r="L47" s="84">
        <f>SUM(L48:L55)</f>
        <v>113711</v>
      </c>
      <c r="M47" s="84">
        <f>SUM(M48:M55)</f>
        <v>623366</v>
      </c>
      <c r="N47" s="84">
        <f>SUM(N48:N55)</f>
        <v>0</v>
      </c>
      <c r="O47" s="70">
        <f t="shared" si="4"/>
        <v>100</v>
      </c>
      <c r="P47" s="71">
        <f t="shared" si="8"/>
        <v>0</v>
      </c>
      <c r="Q47" s="35">
        <f t="shared" si="9"/>
        <v>70058</v>
      </c>
      <c r="R47" s="72">
        <v>1103617</v>
      </c>
      <c r="S47" s="72">
        <f t="shared" si="10"/>
        <v>841360</v>
      </c>
      <c r="T47" s="62"/>
    </row>
    <row r="48" spans="1:20" s="73" customFormat="1">
      <c r="A48" s="8"/>
      <c r="B48" s="8"/>
      <c r="C48" s="8"/>
      <c r="D48" s="45"/>
      <c r="E48" s="46"/>
      <c r="F48" s="47" t="s">
        <v>46</v>
      </c>
      <c r="G48" s="83">
        <f>G58+G67+G76+G85+G94</f>
        <v>547812</v>
      </c>
      <c r="H48" s="83">
        <f t="shared" ref="H48:N55" si="36">H58+H67+H76+H85+H94</f>
        <v>171658</v>
      </c>
      <c r="I48" s="83">
        <f t="shared" si="36"/>
        <v>171658</v>
      </c>
      <c r="J48" s="83">
        <f t="shared" si="36"/>
        <v>171658</v>
      </c>
      <c r="K48" s="83">
        <f t="shared" si="36"/>
        <v>111815</v>
      </c>
      <c r="L48" s="83">
        <f t="shared" si="36"/>
        <v>59843</v>
      </c>
      <c r="M48" s="83">
        <f t="shared" si="36"/>
        <v>171658</v>
      </c>
      <c r="N48" s="83">
        <f t="shared" si="36"/>
        <v>0</v>
      </c>
      <c r="O48" s="70">
        <f t="shared" si="4"/>
        <v>100</v>
      </c>
      <c r="P48" s="71">
        <f t="shared" si="8"/>
        <v>0</v>
      </c>
      <c r="Q48" s="35">
        <f t="shared" si="9"/>
        <v>0</v>
      </c>
      <c r="R48" s="72">
        <v>1103618</v>
      </c>
      <c r="S48" s="72">
        <f t="shared" si="10"/>
        <v>376154</v>
      </c>
      <c r="T48" s="62"/>
    </row>
    <row r="49" spans="1:20" s="73" customFormat="1">
      <c r="A49" s="8"/>
      <c r="B49" s="8"/>
      <c r="C49" s="8"/>
      <c r="D49" s="45"/>
      <c r="E49" s="46"/>
      <c r="F49" s="47" t="s">
        <v>8</v>
      </c>
      <c r="G49" s="83">
        <f t="shared" ref="G49:J55" si="37">G59+G68+G77+G86+G95</f>
        <v>60337</v>
      </c>
      <c r="H49" s="83">
        <f t="shared" si="37"/>
        <v>38065</v>
      </c>
      <c r="I49" s="83">
        <f t="shared" si="37"/>
        <v>38065</v>
      </c>
      <c r="J49" s="83">
        <f t="shared" si="37"/>
        <v>38065</v>
      </c>
      <c r="K49" s="83">
        <f t="shared" si="36"/>
        <v>27329</v>
      </c>
      <c r="L49" s="83">
        <f t="shared" si="36"/>
        <v>10736</v>
      </c>
      <c r="M49" s="83">
        <f t="shared" si="36"/>
        <v>38065</v>
      </c>
      <c r="N49" s="83">
        <f t="shared" si="36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1103619</v>
      </c>
      <c r="S49" s="72">
        <f t="shared" si="10"/>
        <v>22272</v>
      </c>
      <c r="T49" s="62"/>
    </row>
    <row r="50" spans="1:20" s="73" customFormat="1">
      <c r="A50" s="8"/>
      <c r="B50" s="8"/>
      <c r="C50" s="8"/>
      <c r="D50" s="45"/>
      <c r="E50" s="46"/>
      <c r="F50" s="49" t="s">
        <v>9</v>
      </c>
      <c r="G50" s="83">
        <f t="shared" si="37"/>
        <v>123501</v>
      </c>
      <c r="H50" s="83">
        <f t="shared" si="37"/>
        <v>42015</v>
      </c>
      <c r="I50" s="83">
        <f t="shared" si="37"/>
        <v>42015</v>
      </c>
      <c r="J50" s="83">
        <f t="shared" si="37"/>
        <v>42015</v>
      </c>
      <c r="K50" s="83">
        <f t="shared" si="36"/>
        <v>32950</v>
      </c>
      <c r="L50" s="83">
        <f t="shared" si="36"/>
        <v>9065</v>
      </c>
      <c r="M50" s="83">
        <f t="shared" si="36"/>
        <v>42015</v>
      </c>
      <c r="N50" s="83">
        <f t="shared" si="36"/>
        <v>0</v>
      </c>
      <c r="O50" s="70">
        <f t="shared" si="4"/>
        <v>100</v>
      </c>
      <c r="P50" s="71">
        <f t="shared" si="8"/>
        <v>0</v>
      </c>
      <c r="Q50" s="35">
        <f t="shared" si="9"/>
        <v>0</v>
      </c>
      <c r="R50" s="72">
        <v>1103620</v>
      </c>
      <c r="S50" s="72">
        <f t="shared" si="10"/>
        <v>81486</v>
      </c>
      <c r="T50" s="62"/>
    </row>
    <row r="51" spans="1:20" s="73" customFormat="1">
      <c r="A51" s="8"/>
      <c r="B51" s="8"/>
      <c r="C51" s="8"/>
      <c r="D51" s="45"/>
      <c r="E51" s="46"/>
      <c r="F51" s="49" t="s">
        <v>10</v>
      </c>
      <c r="G51" s="83">
        <f t="shared" si="37"/>
        <v>48916</v>
      </c>
      <c r="H51" s="83">
        <f t="shared" si="37"/>
        <v>13707</v>
      </c>
      <c r="I51" s="83">
        <f t="shared" si="37"/>
        <v>13707</v>
      </c>
      <c r="J51" s="83">
        <f t="shared" si="37"/>
        <v>13707</v>
      </c>
      <c r="K51" s="83">
        <f t="shared" si="36"/>
        <v>9356</v>
      </c>
      <c r="L51" s="83">
        <f t="shared" si="36"/>
        <v>4351</v>
      </c>
      <c r="M51" s="83">
        <f t="shared" si="36"/>
        <v>13707</v>
      </c>
      <c r="N51" s="83">
        <f t="shared" si="36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1103621</v>
      </c>
      <c r="S51" s="72">
        <f t="shared" si="10"/>
        <v>35209</v>
      </c>
      <c r="T51" s="62"/>
    </row>
    <row r="52" spans="1:20" s="73" customFormat="1">
      <c r="A52" s="8"/>
      <c r="B52" s="8"/>
      <c r="C52" s="8"/>
      <c r="D52" s="45"/>
      <c r="E52" s="46"/>
      <c r="F52" s="49" t="s">
        <v>47</v>
      </c>
      <c r="G52" s="83">
        <f t="shared" si="37"/>
        <v>85380</v>
      </c>
      <c r="H52" s="83">
        <f t="shared" si="37"/>
        <v>31632</v>
      </c>
      <c r="I52" s="83">
        <f t="shared" si="37"/>
        <v>31632</v>
      </c>
      <c r="J52" s="83">
        <f t="shared" si="37"/>
        <v>31632</v>
      </c>
      <c r="K52" s="83">
        <f t="shared" si="36"/>
        <v>22403</v>
      </c>
      <c r="L52" s="83">
        <f t="shared" si="36"/>
        <v>9229</v>
      </c>
      <c r="M52" s="83">
        <f t="shared" si="36"/>
        <v>31632</v>
      </c>
      <c r="N52" s="83">
        <f t="shared" si="36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1103622</v>
      </c>
      <c r="S52" s="72">
        <f t="shared" si="10"/>
        <v>53748</v>
      </c>
      <c r="T52" s="62"/>
    </row>
    <row r="53" spans="1:20" s="73" customFormat="1">
      <c r="A53" s="8"/>
      <c r="B53" s="8"/>
      <c r="C53" s="8"/>
      <c r="D53" s="45"/>
      <c r="E53" s="46"/>
      <c r="F53" s="49" t="s">
        <v>48</v>
      </c>
      <c r="G53" s="83">
        <f t="shared" si="37"/>
        <v>145294</v>
      </c>
      <c r="H53" s="83">
        <f t="shared" si="37"/>
        <v>38422</v>
      </c>
      <c r="I53" s="83">
        <f t="shared" si="37"/>
        <v>38422</v>
      </c>
      <c r="J53" s="83">
        <f t="shared" si="37"/>
        <v>38422</v>
      </c>
      <c r="K53" s="83">
        <f t="shared" si="36"/>
        <v>30140</v>
      </c>
      <c r="L53" s="83">
        <f t="shared" si="36"/>
        <v>8282</v>
      </c>
      <c r="M53" s="83">
        <f t="shared" si="36"/>
        <v>38422</v>
      </c>
      <c r="N53" s="83">
        <f t="shared" si="36"/>
        <v>0</v>
      </c>
      <c r="O53" s="70">
        <f t="shared" si="4"/>
        <v>100</v>
      </c>
      <c r="P53" s="71">
        <f t="shared" si="8"/>
        <v>0</v>
      </c>
      <c r="Q53" s="35">
        <f t="shared" si="9"/>
        <v>0</v>
      </c>
      <c r="R53" s="72">
        <v>1103623</v>
      </c>
      <c r="S53" s="72">
        <f t="shared" si="10"/>
        <v>106872</v>
      </c>
      <c r="T53" s="62"/>
    </row>
    <row r="54" spans="1:20" s="73" customFormat="1">
      <c r="A54" s="8"/>
      <c r="B54" s="8"/>
      <c r="C54" s="8"/>
      <c r="D54" s="45"/>
      <c r="E54" s="46"/>
      <c r="F54" s="49" t="s">
        <v>12</v>
      </c>
      <c r="G54" s="83">
        <f t="shared" si="37"/>
        <v>379340</v>
      </c>
      <c r="H54" s="83">
        <f t="shared" si="37"/>
        <v>330159</v>
      </c>
      <c r="I54" s="83">
        <f t="shared" si="37"/>
        <v>260101</v>
      </c>
      <c r="J54" s="83">
        <f t="shared" si="37"/>
        <v>260101</v>
      </c>
      <c r="K54" s="83">
        <f t="shared" si="36"/>
        <v>256035</v>
      </c>
      <c r="L54" s="83">
        <f t="shared" si="36"/>
        <v>4066</v>
      </c>
      <c r="M54" s="83">
        <f t="shared" si="36"/>
        <v>260101</v>
      </c>
      <c r="N54" s="83">
        <f t="shared" si="36"/>
        <v>0</v>
      </c>
      <c r="O54" s="70">
        <f t="shared" si="4"/>
        <v>100</v>
      </c>
      <c r="P54" s="71">
        <f t="shared" si="8"/>
        <v>0</v>
      </c>
      <c r="Q54" s="35">
        <f t="shared" si="9"/>
        <v>70058</v>
      </c>
      <c r="R54" s="72">
        <v>1103624</v>
      </c>
      <c r="S54" s="72">
        <f t="shared" si="10"/>
        <v>119239</v>
      </c>
      <c r="T54" s="62"/>
    </row>
    <row r="55" spans="1:20" s="73" customFormat="1">
      <c r="A55" s="8"/>
      <c r="B55" s="8"/>
      <c r="C55" s="8"/>
      <c r="D55" s="45"/>
      <c r="E55" s="46"/>
      <c r="F55" s="49" t="s">
        <v>11</v>
      </c>
      <c r="G55" s="83">
        <f t="shared" si="37"/>
        <v>74146</v>
      </c>
      <c r="H55" s="83">
        <f t="shared" si="37"/>
        <v>27766</v>
      </c>
      <c r="I55" s="83">
        <f t="shared" si="37"/>
        <v>27766</v>
      </c>
      <c r="J55" s="83">
        <f t="shared" si="37"/>
        <v>27766</v>
      </c>
      <c r="K55" s="83">
        <f t="shared" si="36"/>
        <v>19627</v>
      </c>
      <c r="L55" s="83">
        <f t="shared" si="36"/>
        <v>8139</v>
      </c>
      <c r="M55" s="83">
        <f t="shared" si="36"/>
        <v>27766</v>
      </c>
      <c r="N55" s="83">
        <f t="shared" si="36"/>
        <v>0</v>
      </c>
      <c r="O55" s="70">
        <f t="shared" si="4"/>
        <v>100</v>
      </c>
      <c r="P55" s="71">
        <f t="shared" si="8"/>
        <v>0</v>
      </c>
      <c r="Q55" s="35">
        <f t="shared" si="9"/>
        <v>0</v>
      </c>
      <c r="R55" s="72">
        <v>1103625</v>
      </c>
      <c r="S55" s="72">
        <f t="shared" si="10"/>
        <v>46380</v>
      </c>
      <c r="T55" s="62"/>
    </row>
    <row r="56" spans="1:20" s="73" customFormat="1">
      <c r="A56" s="8"/>
      <c r="B56" s="8"/>
      <c r="C56" s="8"/>
      <c r="D56" s="45"/>
      <c r="E56" s="46"/>
      <c r="F56" s="50" t="s">
        <v>110</v>
      </c>
      <c r="G56" s="82"/>
      <c r="H56" s="82"/>
      <c r="I56" s="82"/>
      <c r="J56" s="75" t="e">
        <f t="shared" ref="J56:J74" si="38">M56</f>
        <v>#REF!</v>
      </c>
      <c r="K56" s="35" t="e">
        <f>'1.02.'!M55</f>
        <v>#REF!</v>
      </c>
      <c r="L56" s="35"/>
      <c r="M56" s="80" t="e">
        <f t="shared" ref="M56:M74" si="39">K56+L56</f>
        <v>#REF!</v>
      </c>
      <c r="N56" s="35" t="e">
        <f t="shared" ref="N56:N65" si="40">I56-M56</f>
        <v>#REF!</v>
      </c>
      <c r="O56" s="70" t="e">
        <f t="shared" si="4"/>
        <v>#REF!</v>
      </c>
      <c r="P56" s="71" t="e">
        <f t="shared" si="8"/>
        <v>#REF!</v>
      </c>
      <c r="Q56" s="35" t="e">
        <f t="shared" si="9"/>
        <v>#REF!</v>
      </c>
      <c r="R56" s="72">
        <v>1103626</v>
      </c>
      <c r="S56" s="72" t="e">
        <f t="shared" si="10"/>
        <v>#REF!</v>
      </c>
      <c r="T56" s="62"/>
    </row>
    <row r="57" spans="1:20" s="73" customFormat="1">
      <c r="A57" s="8"/>
      <c r="B57" s="8"/>
      <c r="C57" s="8"/>
      <c r="D57" s="44"/>
      <c r="E57" s="52"/>
      <c r="F57" s="53" t="s">
        <v>111</v>
      </c>
      <c r="G57" s="84">
        <f>SUM(G58:G65)</f>
        <v>615150</v>
      </c>
      <c r="H57" s="84">
        <f t="shared" ref="H57:N57" si="41">SUM(H58:H65)</f>
        <v>186048</v>
      </c>
      <c r="I57" s="84">
        <f t="shared" si="41"/>
        <v>186048</v>
      </c>
      <c r="J57" s="108">
        <f t="shared" si="41"/>
        <v>186048</v>
      </c>
      <c r="K57" s="108">
        <f t="shared" si="41"/>
        <v>132321</v>
      </c>
      <c r="L57" s="108">
        <f t="shared" si="41"/>
        <v>53727</v>
      </c>
      <c r="M57" s="108">
        <f t="shared" si="41"/>
        <v>186048</v>
      </c>
      <c r="N57" s="84">
        <f t="shared" si="41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1103627</v>
      </c>
      <c r="S57" s="72">
        <f t="shared" si="10"/>
        <v>429102</v>
      </c>
      <c r="T57" s="62"/>
    </row>
    <row r="58" spans="1:20" s="73" customFormat="1">
      <c r="A58" s="8"/>
      <c r="B58" s="8"/>
      <c r="C58" s="8"/>
      <c r="D58" s="45"/>
      <c r="E58" s="45"/>
      <c r="F58" s="47" t="s">
        <v>46</v>
      </c>
      <c r="G58" s="83">
        <v>233757</v>
      </c>
      <c r="H58" s="83">
        <f>14105+15933+16957+18744</f>
        <v>65739</v>
      </c>
      <c r="I58" s="83">
        <f>H58</f>
        <v>65739</v>
      </c>
      <c r="J58" s="75">
        <f>M58</f>
        <v>65739</v>
      </c>
      <c r="K58" s="35">
        <f>'1.05.'!M57</f>
        <v>46995</v>
      </c>
      <c r="L58" s="35">
        <v>18744</v>
      </c>
      <c r="M58" s="80">
        <f t="shared" si="39"/>
        <v>65739</v>
      </c>
      <c r="N58" s="35">
        <f t="shared" si="40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1103628</v>
      </c>
      <c r="S58" s="72">
        <f t="shared" si="10"/>
        <v>168018</v>
      </c>
      <c r="T58" s="62"/>
    </row>
    <row r="59" spans="1:20" s="73" customFormat="1">
      <c r="A59" s="8"/>
      <c r="B59" s="8"/>
      <c r="C59" s="8"/>
      <c r="D59" s="45"/>
      <c r="E59" s="45"/>
      <c r="F59" s="47" t="s">
        <v>8</v>
      </c>
      <c r="G59" s="83">
        <v>33218</v>
      </c>
      <c r="H59" s="83">
        <f>3154+3907+4339+5408</f>
        <v>16808</v>
      </c>
      <c r="I59" s="83">
        <f t="shared" ref="I59:I65" si="42">H59</f>
        <v>16808</v>
      </c>
      <c r="J59" s="75">
        <f t="shared" si="38"/>
        <v>16808</v>
      </c>
      <c r="K59" s="35">
        <f>'1.05.'!M58</f>
        <v>11400</v>
      </c>
      <c r="L59" s="35">
        <v>5408</v>
      </c>
      <c r="M59" s="80">
        <f t="shared" si="39"/>
        <v>16808</v>
      </c>
      <c r="N59" s="35">
        <f t="shared" si="40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1103629</v>
      </c>
      <c r="S59" s="72">
        <f t="shared" si="10"/>
        <v>16410</v>
      </c>
      <c r="T59" s="62"/>
    </row>
    <row r="60" spans="1:20" s="73" customFormat="1">
      <c r="A60" s="8"/>
      <c r="B60" s="8"/>
      <c r="C60" s="8"/>
      <c r="D60" s="45"/>
      <c r="E60" s="45"/>
      <c r="F60" s="49" t="s">
        <v>9</v>
      </c>
      <c r="G60" s="83">
        <v>91657</v>
      </c>
      <c r="H60" s="83">
        <f>5815+6877+7129+7351</f>
        <v>27172</v>
      </c>
      <c r="I60" s="83">
        <f t="shared" si="42"/>
        <v>27172</v>
      </c>
      <c r="J60" s="75">
        <f t="shared" si="38"/>
        <v>27172</v>
      </c>
      <c r="K60" s="35">
        <f>'1.05.'!M59</f>
        <v>19821</v>
      </c>
      <c r="L60" s="35">
        <v>7351</v>
      </c>
      <c r="M60" s="80">
        <f t="shared" si="39"/>
        <v>27172</v>
      </c>
      <c r="N60" s="35">
        <f t="shared" si="40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1103630</v>
      </c>
      <c r="S60" s="72">
        <f t="shared" si="10"/>
        <v>64485</v>
      </c>
      <c r="T60" s="62"/>
    </row>
    <row r="61" spans="1:20" s="73" customFormat="1">
      <c r="A61" s="8"/>
      <c r="B61" s="8"/>
      <c r="C61" s="8"/>
      <c r="D61" s="45"/>
      <c r="E61" s="45"/>
      <c r="F61" s="49" t="s">
        <v>10</v>
      </c>
      <c r="G61" s="83">
        <v>25221</v>
      </c>
      <c r="H61" s="83">
        <f>1864+2063+2209+2618</f>
        <v>8754</v>
      </c>
      <c r="I61" s="83">
        <f t="shared" si="42"/>
        <v>8754</v>
      </c>
      <c r="J61" s="75">
        <f t="shared" si="38"/>
        <v>8754</v>
      </c>
      <c r="K61" s="35">
        <f>'1.05.'!M60</f>
        <v>6136</v>
      </c>
      <c r="L61" s="35">
        <v>2618</v>
      </c>
      <c r="M61" s="80">
        <f t="shared" si="39"/>
        <v>8754</v>
      </c>
      <c r="N61" s="35">
        <f t="shared" si="40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1103631</v>
      </c>
      <c r="S61" s="72">
        <f t="shared" si="10"/>
        <v>16467</v>
      </c>
      <c r="T61" s="62"/>
    </row>
    <row r="62" spans="1:20" s="73" customFormat="1">
      <c r="A62" s="8"/>
      <c r="B62" s="8"/>
      <c r="C62" s="8"/>
      <c r="D62" s="45"/>
      <c r="E62" s="45"/>
      <c r="F62" s="49" t="s">
        <v>47</v>
      </c>
      <c r="G62" s="83">
        <v>55364</v>
      </c>
      <c r="H62" s="83">
        <f>4910+5242+5520+5520</f>
        <v>21192</v>
      </c>
      <c r="I62" s="83">
        <f t="shared" si="42"/>
        <v>21192</v>
      </c>
      <c r="J62" s="75">
        <f t="shared" si="38"/>
        <v>21192</v>
      </c>
      <c r="K62" s="35">
        <f>'1.05.'!M61</f>
        <v>15672</v>
      </c>
      <c r="L62" s="35">
        <v>5520</v>
      </c>
      <c r="M62" s="80">
        <f t="shared" si="39"/>
        <v>21192</v>
      </c>
      <c r="N62" s="35">
        <f t="shared" si="40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1103632</v>
      </c>
      <c r="S62" s="72">
        <f t="shared" si="10"/>
        <v>34172</v>
      </c>
      <c r="T62" s="62"/>
    </row>
    <row r="63" spans="1:20" s="73" customFormat="1">
      <c r="A63" s="8"/>
      <c r="B63" s="8"/>
      <c r="C63" s="8"/>
      <c r="D63" s="45"/>
      <c r="E63" s="45"/>
      <c r="F63" s="49" t="s">
        <v>48</v>
      </c>
      <c r="G63" s="83">
        <v>96579</v>
      </c>
      <c r="H63" s="83">
        <f>5824+6008+6007+7486</f>
        <v>25325</v>
      </c>
      <c r="I63" s="83">
        <f t="shared" si="42"/>
        <v>25325</v>
      </c>
      <c r="J63" s="75">
        <f t="shared" si="38"/>
        <v>25325</v>
      </c>
      <c r="K63" s="35">
        <f>'1.05.'!M62</f>
        <v>17839</v>
      </c>
      <c r="L63" s="35">
        <v>7486</v>
      </c>
      <c r="M63" s="80">
        <f t="shared" si="39"/>
        <v>25325</v>
      </c>
      <c r="N63" s="35">
        <f t="shared" si="40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1103633</v>
      </c>
      <c r="S63" s="72">
        <f t="shared" si="10"/>
        <v>71254</v>
      </c>
      <c r="T63" s="62"/>
    </row>
    <row r="64" spans="1:20" s="73" customFormat="1">
      <c r="A64" s="8"/>
      <c r="B64" s="8"/>
      <c r="C64" s="8"/>
      <c r="D64" s="45"/>
      <c r="E64" s="45"/>
      <c r="F64" s="49" t="s">
        <v>12</v>
      </c>
      <c r="G64" s="83">
        <v>33833</v>
      </c>
      <c r="H64" s="83">
        <f>2019+2264+2458+2800</f>
        <v>9541</v>
      </c>
      <c r="I64" s="83">
        <f t="shared" si="42"/>
        <v>9541</v>
      </c>
      <c r="J64" s="75">
        <f t="shared" si="38"/>
        <v>9541</v>
      </c>
      <c r="K64" s="35">
        <f>'1.05.'!M63</f>
        <v>6741</v>
      </c>
      <c r="L64" s="35">
        <v>2800</v>
      </c>
      <c r="M64" s="80">
        <f t="shared" si="39"/>
        <v>9541</v>
      </c>
      <c r="N64" s="35">
        <f t="shared" si="40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1103634</v>
      </c>
      <c r="S64" s="72">
        <f t="shared" si="10"/>
        <v>24292</v>
      </c>
      <c r="T64" s="62"/>
    </row>
    <row r="65" spans="1:20" s="73" customFormat="1">
      <c r="A65" s="8"/>
      <c r="B65" s="8"/>
      <c r="C65" s="8"/>
      <c r="D65" s="45"/>
      <c r="E65" s="45"/>
      <c r="F65" s="49" t="s">
        <v>11</v>
      </c>
      <c r="G65" s="83">
        <v>45521</v>
      </c>
      <c r="H65" s="83">
        <f>2410+2633+2674+3800</f>
        <v>11517</v>
      </c>
      <c r="I65" s="83">
        <f t="shared" si="42"/>
        <v>11517</v>
      </c>
      <c r="J65" s="75">
        <f t="shared" si="38"/>
        <v>11517</v>
      </c>
      <c r="K65" s="35">
        <f>'1.05.'!M64</f>
        <v>7717</v>
      </c>
      <c r="L65" s="35">
        <v>3800</v>
      </c>
      <c r="M65" s="80">
        <f t="shared" si="39"/>
        <v>11517</v>
      </c>
      <c r="N65" s="35">
        <f t="shared" si="40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1103635</v>
      </c>
      <c r="S65" s="72">
        <f t="shared" si="10"/>
        <v>34004</v>
      </c>
      <c r="T65" s="62"/>
    </row>
    <row r="66" spans="1:20" s="73" customFormat="1" ht="25.5">
      <c r="A66" s="8"/>
      <c r="B66" s="8"/>
      <c r="C66" s="8"/>
      <c r="D66" s="44"/>
      <c r="E66" s="52"/>
      <c r="F66" s="53" t="s">
        <v>112</v>
      </c>
      <c r="G66" s="84">
        <f>SUM(G67:G74)</f>
        <v>111098</v>
      </c>
      <c r="H66" s="84">
        <f t="shared" ref="H66:N66" si="43">SUM(H67:H74)</f>
        <v>18910</v>
      </c>
      <c r="I66" s="84">
        <f t="shared" si="43"/>
        <v>18910</v>
      </c>
      <c r="J66" s="108">
        <f t="shared" si="43"/>
        <v>18910</v>
      </c>
      <c r="K66" s="108">
        <f t="shared" si="43"/>
        <v>14157</v>
      </c>
      <c r="L66" s="108">
        <f t="shared" si="43"/>
        <v>4753</v>
      </c>
      <c r="M66" s="108">
        <f t="shared" si="43"/>
        <v>18910</v>
      </c>
      <c r="N66" s="84">
        <f t="shared" si="43"/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1103636</v>
      </c>
      <c r="S66" s="72">
        <f t="shared" si="10"/>
        <v>92188</v>
      </c>
      <c r="T66" s="62"/>
    </row>
    <row r="67" spans="1:20" s="73" customFormat="1">
      <c r="A67" s="8"/>
      <c r="B67" s="8"/>
      <c r="C67" s="8"/>
      <c r="D67" s="45"/>
      <c r="E67" s="45"/>
      <c r="F67" s="47" t="s">
        <v>46</v>
      </c>
      <c r="G67" s="83">
        <v>38884</v>
      </c>
      <c r="H67" s="83">
        <f>1421+1689+1718+1574</f>
        <v>6402</v>
      </c>
      <c r="I67" s="83">
        <f>H67</f>
        <v>6402</v>
      </c>
      <c r="J67" s="75">
        <f t="shared" si="38"/>
        <v>6402</v>
      </c>
      <c r="K67" s="35">
        <f>'1.05.'!M66</f>
        <v>4828</v>
      </c>
      <c r="L67" s="35">
        <v>1574</v>
      </c>
      <c r="M67" s="80">
        <f t="shared" si="39"/>
        <v>6402</v>
      </c>
      <c r="N67" s="35">
        <f t="shared" ref="N67:N74" si="44">I67-M67</f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1103637</v>
      </c>
      <c r="S67" s="72">
        <f t="shared" si="10"/>
        <v>32482</v>
      </c>
      <c r="T67" s="62"/>
    </row>
    <row r="68" spans="1:20" s="73" customFormat="1">
      <c r="A68" s="8"/>
      <c r="B68" s="8"/>
      <c r="C68" s="8"/>
      <c r="D68" s="45"/>
      <c r="E68" s="45"/>
      <c r="F68" s="47" t="s">
        <v>8</v>
      </c>
      <c r="G68" s="83">
        <v>7221</v>
      </c>
      <c r="H68" s="83">
        <f>238+322+361+438</f>
        <v>1359</v>
      </c>
      <c r="I68" s="83">
        <f t="shared" ref="I68:I74" si="45">H68</f>
        <v>1359</v>
      </c>
      <c r="J68" s="75">
        <f t="shared" si="38"/>
        <v>1359</v>
      </c>
      <c r="K68" s="35">
        <f>'1.05.'!M67</f>
        <v>921</v>
      </c>
      <c r="L68" s="35">
        <v>438</v>
      </c>
      <c r="M68" s="80">
        <f t="shared" si="39"/>
        <v>1359</v>
      </c>
      <c r="N68" s="35">
        <f t="shared" si="44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1103638</v>
      </c>
      <c r="S68" s="72">
        <f t="shared" si="10"/>
        <v>5862</v>
      </c>
      <c r="T68" s="62"/>
    </row>
    <row r="69" spans="1:20" s="73" customFormat="1">
      <c r="A69" s="8"/>
      <c r="B69" s="8"/>
      <c r="C69" s="8"/>
      <c r="D69" s="45"/>
      <c r="E69" s="45"/>
      <c r="F69" s="49" t="s">
        <v>9</v>
      </c>
      <c r="G69" s="83">
        <v>13554</v>
      </c>
      <c r="H69" s="83">
        <f>588+692+689+609</f>
        <v>2578</v>
      </c>
      <c r="I69" s="83">
        <f t="shared" si="45"/>
        <v>2578</v>
      </c>
      <c r="J69" s="75">
        <f t="shared" si="38"/>
        <v>2578</v>
      </c>
      <c r="K69" s="35">
        <f>'1.05.'!M68</f>
        <v>1969</v>
      </c>
      <c r="L69" s="35">
        <v>609</v>
      </c>
      <c r="M69" s="80">
        <f t="shared" si="39"/>
        <v>2578</v>
      </c>
      <c r="N69" s="35">
        <f t="shared" si="44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1103639</v>
      </c>
      <c r="S69" s="72">
        <f t="shared" si="10"/>
        <v>10976</v>
      </c>
      <c r="T69" s="62"/>
    </row>
    <row r="70" spans="1:20" s="73" customFormat="1">
      <c r="A70" s="8"/>
      <c r="B70" s="8"/>
      <c r="C70" s="8"/>
      <c r="D70" s="45"/>
      <c r="E70" s="45"/>
      <c r="F70" s="49" t="s">
        <v>10</v>
      </c>
      <c r="G70" s="83">
        <v>4777</v>
      </c>
      <c r="H70" s="83">
        <f>215+246+259+233</f>
        <v>953</v>
      </c>
      <c r="I70" s="83">
        <f t="shared" si="45"/>
        <v>953</v>
      </c>
      <c r="J70" s="75">
        <f t="shared" si="38"/>
        <v>953</v>
      </c>
      <c r="K70" s="35">
        <f>'1.05.'!M69</f>
        <v>720</v>
      </c>
      <c r="L70" s="35">
        <v>233</v>
      </c>
      <c r="M70" s="80">
        <f t="shared" si="39"/>
        <v>953</v>
      </c>
      <c r="N70" s="35">
        <f t="shared" si="44"/>
        <v>0</v>
      </c>
      <c r="O70" s="70">
        <f t="shared" si="4"/>
        <v>100</v>
      </c>
      <c r="P70" s="71">
        <f t="shared" si="8"/>
        <v>0</v>
      </c>
      <c r="Q70" s="35">
        <f t="shared" si="9"/>
        <v>0</v>
      </c>
      <c r="R70" s="72">
        <v>1103640</v>
      </c>
      <c r="S70" s="72">
        <f t="shared" si="10"/>
        <v>3824</v>
      </c>
      <c r="T70" s="62"/>
    </row>
    <row r="71" spans="1:20" s="73" customFormat="1">
      <c r="A71" s="8"/>
      <c r="B71" s="8"/>
      <c r="C71" s="8"/>
      <c r="D71" s="45"/>
      <c r="E71" s="45"/>
      <c r="F71" s="49" t="s">
        <v>47</v>
      </c>
      <c r="G71" s="83">
        <v>10999</v>
      </c>
      <c r="H71" s="83">
        <f>508+650+573+459</f>
        <v>2190</v>
      </c>
      <c r="I71" s="83">
        <f t="shared" si="45"/>
        <v>2190</v>
      </c>
      <c r="J71" s="75">
        <f t="shared" si="38"/>
        <v>2190</v>
      </c>
      <c r="K71" s="35">
        <f>'1.05.'!M70</f>
        <v>1731</v>
      </c>
      <c r="L71" s="35">
        <v>459</v>
      </c>
      <c r="M71" s="80">
        <f t="shared" si="39"/>
        <v>2190</v>
      </c>
      <c r="N71" s="35">
        <f t="shared" si="44"/>
        <v>0</v>
      </c>
      <c r="O71" s="70">
        <f t="shared" ref="O71:O74" si="46">M71/I71*100</f>
        <v>100</v>
      </c>
      <c r="P71" s="71">
        <f t="shared" si="8"/>
        <v>0</v>
      </c>
      <c r="Q71" s="35">
        <f t="shared" si="9"/>
        <v>0</v>
      </c>
      <c r="R71" s="72">
        <v>1103641</v>
      </c>
      <c r="S71" s="72">
        <f t="shared" si="10"/>
        <v>8809</v>
      </c>
      <c r="T71" s="62"/>
    </row>
    <row r="72" spans="1:20" s="73" customFormat="1">
      <c r="A72" s="8"/>
      <c r="B72" s="8"/>
      <c r="C72" s="8"/>
      <c r="D72" s="45"/>
      <c r="E72" s="45"/>
      <c r="F72" s="49" t="s">
        <v>48</v>
      </c>
      <c r="G72" s="83">
        <v>21109</v>
      </c>
      <c r="H72" s="83">
        <f>766+770+765+796</f>
        <v>3097</v>
      </c>
      <c r="I72" s="83">
        <f t="shared" si="45"/>
        <v>3097</v>
      </c>
      <c r="J72" s="75">
        <f t="shared" si="38"/>
        <v>3097</v>
      </c>
      <c r="K72" s="35">
        <f>'1.05.'!M71</f>
        <v>2301</v>
      </c>
      <c r="L72" s="35">
        <v>796</v>
      </c>
      <c r="M72" s="80">
        <f t="shared" si="39"/>
        <v>3097</v>
      </c>
      <c r="N72" s="35">
        <f t="shared" si="44"/>
        <v>0</v>
      </c>
      <c r="O72" s="70">
        <f t="shared" si="46"/>
        <v>100</v>
      </c>
      <c r="P72" s="71">
        <f t="shared" si="8"/>
        <v>0</v>
      </c>
      <c r="Q72" s="35">
        <f t="shared" si="9"/>
        <v>0</v>
      </c>
      <c r="R72" s="72">
        <v>1103642</v>
      </c>
      <c r="S72" s="72">
        <f t="shared" si="10"/>
        <v>18012</v>
      </c>
      <c r="T72" s="62"/>
    </row>
    <row r="73" spans="1:20" s="73" customFormat="1">
      <c r="A73" s="8"/>
      <c r="B73" s="8"/>
      <c r="C73" s="8"/>
      <c r="D73" s="45"/>
      <c r="E73" s="45"/>
      <c r="F73" s="49" t="s">
        <v>12</v>
      </c>
      <c r="G73" s="83">
        <v>6554</v>
      </c>
      <c r="H73" s="83">
        <f>234+267+315+266</f>
        <v>1082</v>
      </c>
      <c r="I73" s="83">
        <f t="shared" si="45"/>
        <v>1082</v>
      </c>
      <c r="J73" s="75">
        <f t="shared" si="38"/>
        <v>1082</v>
      </c>
      <c r="K73" s="35">
        <f>'1.05.'!M72</f>
        <v>816</v>
      </c>
      <c r="L73" s="35">
        <v>266</v>
      </c>
      <c r="M73" s="80">
        <f t="shared" si="39"/>
        <v>1082</v>
      </c>
      <c r="N73" s="35">
        <f t="shared" si="44"/>
        <v>0</v>
      </c>
      <c r="O73" s="70">
        <f t="shared" si="46"/>
        <v>100</v>
      </c>
      <c r="P73" s="71">
        <f t="shared" si="8"/>
        <v>0</v>
      </c>
      <c r="Q73" s="35">
        <f t="shared" si="9"/>
        <v>0</v>
      </c>
      <c r="R73" s="72">
        <v>1103643</v>
      </c>
      <c r="S73" s="72">
        <f t="shared" si="10"/>
        <v>5472</v>
      </c>
      <c r="T73" s="62"/>
    </row>
    <row r="74" spans="1:20" s="73" customFormat="1">
      <c r="A74" s="8"/>
      <c r="B74" s="8"/>
      <c r="C74" s="8"/>
      <c r="D74" s="45"/>
      <c r="E74" s="45"/>
      <c r="F74" s="49" t="s">
        <v>11</v>
      </c>
      <c r="G74" s="83">
        <v>8000</v>
      </c>
      <c r="H74" s="83">
        <f>267+286+318+378</f>
        <v>1249</v>
      </c>
      <c r="I74" s="83">
        <f t="shared" si="45"/>
        <v>1249</v>
      </c>
      <c r="J74" s="75">
        <f t="shared" si="38"/>
        <v>1249</v>
      </c>
      <c r="K74" s="35">
        <f>'1.05.'!M73</f>
        <v>871</v>
      </c>
      <c r="L74" s="35">
        <v>378</v>
      </c>
      <c r="M74" s="80">
        <f t="shared" si="39"/>
        <v>1249</v>
      </c>
      <c r="N74" s="35">
        <f t="shared" si="44"/>
        <v>0</v>
      </c>
      <c r="O74" s="70">
        <f t="shared" si="46"/>
        <v>100</v>
      </c>
      <c r="P74" s="71">
        <f t="shared" si="8"/>
        <v>0</v>
      </c>
      <c r="Q74" s="35">
        <f t="shared" si="9"/>
        <v>0</v>
      </c>
      <c r="R74" s="72">
        <v>1103644</v>
      </c>
      <c r="S74" s="72">
        <f t="shared" si="10"/>
        <v>6751</v>
      </c>
      <c r="T74" s="62"/>
    </row>
    <row r="75" spans="1:20" s="73" customFormat="1">
      <c r="A75" s="8"/>
      <c r="B75" s="8"/>
      <c r="C75" s="8"/>
      <c r="D75" s="45"/>
      <c r="E75" s="45"/>
      <c r="F75" s="51" t="s">
        <v>58</v>
      </c>
      <c r="G75" s="82">
        <f>SUM(G76:G83)</f>
        <v>314536</v>
      </c>
      <c r="H75" s="82">
        <f t="shared" ref="H75:O75" si="47">SUM(H76:H83)</f>
        <v>314536</v>
      </c>
      <c r="I75" s="82">
        <f t="shared" si="47"/>
        <v>244478</v>
      </c>
      <c r="J75" s="108">
        <f t="shared" si="47"/>
        <v>244478</v>
      </c>
      <c r="K75" s="108">
        <f t="shared" si="47"/>
        <v>244478</v>
      </c>
      <c r="L75" s="108">
        <f t="shared" si="47"/>
        <v>0</v>
      </c>
      <c r="M75" s="108">
        <f t="shared" si="47"/>
        <v>244478</v>
      </c>
      <c r="N75" s="82">
        <f t="shared" si="47"/>
        <v>0</v>
      </c>
      <c r="O75" s="82" t="e">
        <f t="shared" si="47"/>
        <v>#DIV/0!</v>
      </c>
      <c r="P75" s="71">
        <f t="shared" ref="P75:P148" si="48">J75-M75</f>
        <v>0</v>
      </c>
      <c r="Q75" s="35">
        <f t="shared" ref="Q75:Q148" si="49">H75-J75</f>
        <v>70058</v>
      </c>
      <c r="R75" s="72">
        <v>1103645</v>
      </c>
      <c r="S75" s="72">
        <f t="shared" ref="S75:S148" si="50">G75-M75</f>
        <v>70058</v>
      </c>
      <c r="T75" s="62"/>
    </row>
    <row r="76" spans="1:20" s="73" customFormat="1">
      <c r="A76" s="8"/>
      <c r="B76" s="8"/>
      <c r="C76" s="8"/>
      <c r="D76" s="45"/>
      <c r="E76" s="45"/>
      <c r="F76" s="47" t="s">
        <v>46</v>
      </c>
      <c r="G76" s="83"/>
      <c r="H76" s="83"/>
      <c r="I76" s="83"/>
      <c r="J76" s="75">
        <f t="shared" ref="J76:J83" si="51">M76</f>
        <v>0</v>
      </c>
      <c r="K76" s="35">
        <f>'1.05.'!M75</f>
        <v>0</v>
      </c>
      <c r="L76" s="35"/>
      <c r="M76" s="80">
        <f t="shared" ref="M76:M83" si="52">K76+L76</f>
        <v>0</v>
      </c>
      <c r="N76" s="35">
        <f t="shared" ref="N76:N83" si="53">I76-M76</f>
        <v>0</v>
      </c>
      <c r="O76" s="70" t="e">
        <f t="shared" ref="O76:O83" si="54">M76/I76*100</f>
        <v>#DIV/0!</v>
      </c>
      <c r="P76" s="71">
        <f t="shared" si="48"/>
        <v>0</v>
      </c>
      <c r="Q76" s="35">
        <f t="shared" si="49"/>
        <v>0</v>
      </c>
      <c r="R76" s="72">
        <v>1103646</v>
      </c>
      <c r="S76" s="72">
        <f t="shared" si="50"/>
        <v>0</v>
      </c>
      <c r="T76" s="62"/>
    </row>
    <row r="77" spans="1:20" s="73" customFormat="1">
      <c r="A77" s="8"/>
      <c r="B77" s="8"/>
      <c r="C77" s="8"/>
      <c r="D77" s="45"/>
      <c r="E77" s="45"/>
      <c r="F77" s="47" t="s">
        <v>8</v>
      </c>
      <c r="G77" s="83"/>
      <c r="H77" s="83"/>
      <c r="I77" s="83"/>
      <c r="J77" s="75">
        <f t="shared" si="51"/>
        <v>0</v>
      </c>
      <c r="K77" s="35">
        <f>'1.05.'!M76</f>
        <v>0</v>
      </c>
      <c r="L77" s="35"/>
      <c r="M77" s="80">
        <f t="shared" si="52"/>
        <v>0</v>
      </c>
      <c r="N77" s="35">
        <f t="shared" si="53"/>
        <v>0</v>
      </c>
      <c r="O77" s="70" t="e">
        <f t="shared" si="54"/>
        <v>#DIV/0!</v>
      </c>
      <c r="P77" s="71">
        <f t="shared" si="48"/>
        <v>0</v>
      </c>
      <c r="Q77" s="35">
        <f t="shared" si="49"/>
        <v>0</v>
      </c>
      <c r="R77" s="72">
        <v>1103647</v>
      </c>
      <c r="S77" s="72">
        <f t="shared" si="50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9</v>
      </c>
      <c r="G78" s="83"/>
      <c r="H78" s="83"/>
      <c r="I78" s="83"/>
      <c r="J78" s="75">
        <f t="shared" si="51"/>
        <v>0</v>
      </c>
      <c r="K78" s="35">
        <f>'1.05.'!M77</f>
        <v>0</v>
      </c>
      <c r="L78" s="35"/>
      <c r="M78" s="80">
        <f t="shared" si="52"/>
        <v>0</v>
      </c>
      <c r="N78" s="35">
        <f t="shared" si="53"/>
        <v>0</v>
      </c>
      <c r="O78" s="70" t="e">
        <f t="shared" si="54"/>
        <v>#DIV/0!</v>
      </c>
      <c r="P78" s="71">
        <f t="shared" si="48"/>
        <v>0</v>
      </c>
      <c r="Q78" s="35">
        <f t="shared" si="49"/>
        <v>0</v>
      </c>
      <c r="R78" s="72">
        <v>1103648</v>
      </c>
      <c r="S78" s="72">
        <f t="shared" si="50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10</v>
      </c>
      <c r="G79" s="83"/>
      <c r="H79" s="83"/>
      <c r="I79" s="83"/>
      <c r="J79" s="75">
        <f t="shared" si="51"/>
        <v>0</v>
      </c>
      <c r="K79" s="35">
        <f>'1.05.'!M78</f>
        <v>0</v>
      </c>
      <c r="L79" s="35"/>
      <c r="M79" s="80">
        <f t="shared" si="52"/>
        <v>0</v>
      </c>
      <c r="N79" s="35">
        <f t="shared" si="53"/>
        <v>0</v>
      </c>
      <c r="O79" s="70" t="e">
        <f t="shared" si="54"/>
        <v>#DIV/0!</v>
      </c>
      <c r="P79" s="71">
        <f t="shared" si="48"/>
        <v>0</v>
      </c>
      <c r="Q79" s="35">
        <f t="shared" si="49"/>
        <v>0</v>
      </c>
      <c r="R79" s="72">
        <v>1103649</v>
      </c>
      <c r="S79" s="72">
        <f t="shared" si="50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47</v>
      </c>
      <c r="G80" s="83"/>
      <c r="H80" s="83"/>
      <c r="I80" s="83"/>
      <c r="J80" s="75">
        <f t="shared" si="51"/>
        <v>0</v>
      </c>
      <c r="K80" s="35">
        <f>'1.05.'!M79</f>
        <v>0</v>
      </c>
      <c r="L80" s="35"/>
      <c r="M80" s="80">
        <f t="shared" si="52"/>
        <v>0</v>
      </c>
      <c r="N80" s="35">
        <f t="shared" si="53"/>
        <v>0</v>
      </c>
      <c r="O80" s="70" t="e">
        <f t="shared" si="54"/>
        <v>#DIV/0!</v>
      </c>
      <c r="P80" s="71">
        <f t="shared" si="48"/>
        <v>0</v>
      </c>
      <c r="Q80" s="35">
        <f t="shared" si="49"/>
        <v>0</v>
      </c>
      <c r="R80" s="72">
        <v>1103650</v>
      </c>
      <c r="S80" s="72">
        <f t="shared" si="50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48</v>
      </c>
      <c r="G81" s="83"/>
      <c r="H81" s="83"/>
      <c r="I81" s="83"/>
      <c r="J81" s="75">
        <f t="shared" si="51"/>
        <v>0</v>
      </c>
      <c r="K81" s="35">
        <f>'1.05.'!M80</f>
        <v>0</v>
      </c>
      <c r="L81" s="35"/>
      <c r="M81" s="80">
        <f t="shared" si="52"/>
        <v>0</v>
      </c>
      <c r="N81" s="35">
        <f t="shared" si="53"/>
        <v>0</v>
      </c>
      <c r="O81" s="70" t="e">
        <f t="shared" si="54"/>
        <v>#DIV/0!</v>
      </c>
      <c r="P81" s="71">
        <f t="shared" si="48"/>
        <v>0</v>
      </c>
      <c r="Q81" s="35">
        <f t="shared" si="49"/>
        <v>0</v>
      </c>
      <c r="R81" s="72">
        <v>1103651</v>
      </c>
      <c r="S81" s="72">
        <f t="shared" si="50"/>
        <v>0</v>
      </c>
      <c r="T81" s="62"/>
    </row>
    <row r="82" spans="1:20" s="73" customFormat="1">
      <c r="A82" s="8"/>
      <c r="B82" s="8"/>
      <c r="C82" s="8"/>
      <c r="D82" s="45"/>
      <c r="E82" s="45"/>
      <c r="F82" s="49" t="s">
        <v>12</v>
      </c>
      <c r="G82" s="83">
        <v>314536</v>
      </c>
      <c r="H82" s="83">
        <v>314536</v>
      </c>
      <c r="I82" s="83">
        <f>125000+119478</f>
        <v>244478</v>
      </c>
      <c r="J82" s="75">
        <f t="shared" si="51"/>
        <v>244478</v>
      </c>
      <c r="K82" s="35">
        <f>'1.05.'!M81</f>
        <v>244478</v>
      </c>
      <c r="L82" s="35"/>
      <c r="M82" s="80">
        <f t="shared" si="52"/>
        <v>244478</v>
      </c>
      <c r="N82" s="35">
        <f t="shared" si="53"/>
        <v>0</v>
      </c>
      <c r="O82" s="70">
        <f t="shared" si="54"/>
        <v>100</v>
      </c>
      <c r="P82" s="71">
        <f t="shared" si="48"/>
        <v>0</v>
      </c>
      <c r="Q82" s="35">
        <f t="shared" si="49"/>
        <v>70058</v>
      </c>
      <c r="R82" s="72">
        <v>1103652</v>
      </c>
      <c r="S82" s="72">
        <f t="shared" si="50"/>
        <v>70058</v>
      </c>
      <c r="T82" s="62"/>
    </row>
    <row r="83" spans="1:20" s="73" customFormat="1">
      <c r="A83" s="8"/>
      <c r="B83" s="8"/>
      <c r="C83" s="8"/>
      <c r="D83" s="45"/>
      <c r="E83" s="45"/>
      <c r="F83" s="49" t="s">
        <v>11</v>
      </c>
      <c r="G83" s="83"/>
      <c r="H83" s="83"/>
      <c r="I83" s="83"/>
      <c r="J83" s="75">
        <f t="shared" si="51"/>
        <v>0</v>
      </c>
      <c r="K83" s="35">
        <f>'1.05.'!M82</f>
        <v>0</v>
      </c>
      <c r="L83" s="35"/>
      <c r="M83" s="80">
        <f t="shared" si="52"/>
        <v>0</v>
      </c>
      <c r="N83" s="35">
        <f t="shared" si="53"/>
        <v>0</v>
      </c>
      <c r="O83" s="70" t="e">
        <f t="shared" si="54"/>
        <v>#DIV/0!</v>
      </c>
      <c r="P83" s="71">
        <f t="shared" si="48"/>
        <v>0</v>
      </c>
      <c r="Q83" s="35">
        <f t="shared" si="49"/>
        <v>0</v>
      </c>
      <c r="R83" s="72">
        <v>1103653</v>
      </c>
      <c r="S83" s="72">
        <f t="shared" si="50"/>
        <v>0</v>
      </c>
      <c r="T83" s="62"/>
    </row>
    <row r="84" spans="1:20" s="73" customFormat="1" ht="38.25">
      <c r="A84" s="8"/>
      <c r="B84" s="8"/>
      <c r="C84" s="8"/>
      <c r="D84" s="45"/>
      <c r="E84" s="45"/>
      <c r="F84" s="51" t="s">
        <v>59</v>
      </c>
      <c r="G84" s="82">
        <f>SUM(G85:G92)</f>
        <v>293942</v>
      </c>
      <c r="H84" s="82">
        <f t="shared" ref="H84:O84" si="55">SUM(H85:H92)</f>
        <v>139708</v>
      </c>
      <c r="I84" s="82">
        <f t="shared" si="55"/>
        <v>139708</v>
      </c>
      <c r="J84" s="108">
        <f t="shared" si="55"/>
        <v>139708</v>
      </c>
      <c r="K84" s="108">
        <f t="shared" si="55"/>
        <v>117083</v>
      </c>
      <c r="L84" s="108">
        <f t="shared" si="55"/>
        <v>22625</v>
      </c>
      <c r="M84" s="108">
        <f t="shared" si="55"/>
        <v>139708</v>
      </c>
      <c r="N84" s="82">
        <f t="shared" si="55"/>
        <v>0</v>
      </c>
      <c r="O84" s="82">
        <f t="shared" si="55"/>
        <v>800</v>
      </c>
      <c r="P84" s="71">
        <f t="shared" si="48"/>
        <v>0</v>
      </c>
      <c r="Q84" s="35">
        <f t="shared" si="49"/>
        <v>0</v>
      </c>
      <c r="R84" s="72">
        <v>1103654</v>
      </c>
      <c r="S84" s="72">
        <f t="shared" si="50"/>
        <v>154234</v>
      </c>
      <c r="T84" s="62"/>
    </row>
    <row r="85" spans="1:20" s="73" customFormat="1">
      <c r="A85" s="8"/>
      <c r="B85" s="8"/>
      <c r="C85" s="8"/>
      <c r="D85" s="45"/>
      <c r="E85" s="45"/>
      <c r="F85" s="47" t="s">
        <v>46</v>
      </c>
      <c r="G85" s="83">
        <v>188942</v>
      </c>
      <c r="H85" s="83">
        <f>20908+10000+29084+13201</f>
        <v>73193</v>
      </c>
      <c r="I85" s="83">
        <f>H85</f>
        <v>73193</v>
      </c>
      <c r="J85" s="75">
        <f t="shared" ref="J85:J92" si="56">M85</f>
        <v>73193</v>
      </c>
      <c r="K85" s="35">
        <f>'1.05.'!M84</f>
        <v>59992</v>
      </c>
      <c r="L85" s="35">
        <v>13201</v>
      </c>
      <c r="M85" s="80">
        <f t="shared" ref="M85:M92" si="57">K85+L85</f>
        <v>73193</v>
      </c>
      <c r="N85" s="35">
        <f t="shared" ref="N85:N92" si="58">I85-M85</f>
        <v>0</v>
      </c>
      <c r="O85" s="70">
        <f t="shared" ref="O85:O158" si="59">M85/I85*100</f>
        <v>100</v>
      </c>
      <c r="P85" s="71">
        <f t="shared" si="48"/>
        <v>0</v>
      </c>
      <c r="Q85" s="35">
        <f t="shared" si="49"/>
        <v>0</v>
      </c>
      <c r="R85" s="72">
        <v>1103655</v>
      </c>
      <c r="S85" s="72">
        <f t="shared" si="50"/>
        <v>115749</v>
      </c>
      <c r="T85" s="62"/>
    </row>
    <row r="86" spans="1:20" s="73" customFormat="1">
      <c r="A86" s="8"/>
      <c r="B86" s="8"/>
      <c r="C86" s="8"/>
      <c r="D86" s="45"/>
      <c r="E86" s="45"/>
      <c r="F86" s="47" t="s">
        <v>8</v>
      </c>
      <c r="G86" s="83">
        <v>15000</v>
      </c>
      <c r="H86" s="83">
        <f>6986+7406+608</f>
        <v>15000</v>
      </c>
      <c r="I86" s="83">
        <f t="shared" ref="I86:I92" si="60">H86</f>
        <v>15000</v>
      </c>
      <c r="J86" s="75">
        <f t="shared" si="56"/>
        <v>15000</v>
      </c>
      <c r="K86" s="35">
        <f>'1.05.'!M85</f>
        <v>14392</v>
      </c>
      <c r="L86" s="35">
        <v>608</v>
      </c>
      <c r="M86" s="80">
        <f t="shared" si="57"/>
        <v>15000</v>
      </c>
      <c r="N86" s="35">
        <f t="shared" si="58"/>
        <v>0</v>
      </c>
      <c r="O86" s="70">
        <f t="shared" si="59"/>
        <v>100</v>
      </c>
      <c r="P86" s="71">
        <f t="shared" si="48"/>
        <v>0</v>
      </c>
      <c r="Q86" s="35">
        <f t="shared" si="49"/>
        <v>0</v>
      </c>
      <c r="R86" s="72">
        <v>1103656</v>
      </c>
      <c r="S86" s="72">
        <f t="shared" si="50"/>
        <v>0</v>
      </c>
      <c r="T86" s="62"/>
    </row>
    <row r="87" spans="1:20" s="73" customFormat="1">
      <c r="A87" s="8"/>
      <c r="B87" s="8"/>
      <c r="C87" s="8"/>
      <c r="D87" s="45"/>
      <c r="E87" s="45"/>
      <c r="F87" s="49" t="s">
        <v>9</v>
      </c>
      <c r="G87" s="83">
        <v>15000</v>
      </c>
      <c r="H87" s="83">
        <f>3950+6105+1105+1105</f>
        <v>12265</v>
      </c>
      <c r="I87" s="83">
        <f t="shared" si="60"/>
        <v>12265</v>
      </c>
      <c r="J87" s="75">
        <f t="shared" si="56"/>
        <v>12265</v>
      </c>
      <c r="K87" s="35">
        <f>'1.05.'!M86</f>
        <v>11160</v>
      </c>
      <c r="L87" s="35">
        <v>1105</v>
      </c>
      <c r="M87" s="80">
        <f t="shared" si="57"/>
        <v>12265</v>
      </c>
      <c r="N87" s="35">
        <f t="shared" si="58"/>
        <v>0</v>
      </c>
      <c r="O87" s="70">
        <f t="shared" si="59"/>
        <v>100</v>
      </c>
      <c r="P87" s="71">
        <f t="shared" si="48"/>
        <v>0</v>
      </c>
      <c r="Q87" s="35">
        <f t="shared" si="49"/>
        <v>0</v>
      </c>
      <c r="R87" s="72">
        <v>1103657</v>
      </c>
      <c r="S87" s="72">
        <f t="shared" si="50"/>
        <v>2735</v>
      </c>
      <c r="T87" s="62"/>
    </row>
    <row r="88" spans="1:20" s="73" customFormat="1">
      <c r="A88" s="8"/>
      <c r="B88" s="8"/>
      <c r="C88" s="8"/>
      <c r="D88" s="45"/>
      <c r="E88" s="45"/>
      <c r="F88" s="49" t="s">
        <v>10</v>
      </c>
      <c r="G88" s="83">
        <v>15000</v>
      </c>
      <c r="H88" s="83">
        <f>1000+1500+1500</f>
        <v>4000</v>
      </c>
      <c r="I88" s="83">
        <f t="shared" si="60"/>
        <v>4000</v>
      </c>
      <c r="J88" s="75">
        <f t="shared" si="56"/>
        <v>4000</v>
      </c>
      <c r="K88" s="35">
        <f>'1.05.'!M87</f>
        <v>2500</v>
      </c>
      <c r="L88" s="35">
        <v>1500</v>
      </c>
      <c r="M88" s="80">
        <f t="shared" si="57"/>
        <v>4000</v>
      </c>
      <c r="N88" s="35">
        <f t="shared" si="58"/>
        <v>0</v>
      </c>
      <c r="O88" s="70">
        <f t="shared" si="59"/>
        <v>100</v>
      </c>
      <c r="P88" s="71">
        <f t="shared" si="48"/>
        <v>0</v>
      </c>
      <c r="Q88" s="35">
        <f t="shared" si="49"/>
        <v>0</v>
      </c>
      <c r="R88" s="72">
        <v>1103658</v>
      </c>
      <c r="S88" s="72">
        <f t="shared" si="50"/>
        <v>11000</v>
      </c>
      <c r="T88" s="62"/>
    </row>
    <row r="89" spans="1:20" s="73" customFormat="1">
      <c r="A89" s="8"/>
      <c r="B89" s="8"/>
      <c r="C89" s="8"/>
      <c r="D89" s="45"/>
      <c r="E89" s="45"/>
      <c r="F89" s="49" t="s">
        <v>47</v>
      </c>
      <c r="G89" s="83">
        <v>15000</v>
      </c>
      <c r="H89" s="83">
        <f>2500+1250+1250+1250</f>
        <v>6250</v>
      </c>
      <c r="I89" s="83">
        <f t="shared" si="60"/>
        <v>6250</v>
      </c>
      <c r="J89" s="75">
        <f t="shared" si="56"/>
        <v>6250</v>
      </c>
      <c r="K89" s="35">
        <f>'1.05.'!M88</f>
        <v>5000</v>
      </c>
      <c r="L89" s="35">
        <v>1250</v>
      </c>
      <c r="M89" s="80">
        <f t="shared" si="57"/>
        <v>6250</v>
      </c>
      <c r="N89" s="35">
        <f t="shared" si="58"/>
        <v>0</v>
      </c>
      <c r="O89" s="70">
        <f t="shared" si="59"/>
        <v>100</v>
      </c>
      <c r="P89" s="71">
        <f t="shared" si="48"/>
        <v>0</v>
      </c>
      <c r="Q89" s="35">
        <f t="shared" si="49"/>
        <v>0</v>
      </c>
      <c r="R89" s="72">
        <v>1103659</v>
      </c>
      <c r="S89" s="72">
        <f t="shared" si="50"/>
        <v>8750</v>
      </c>
      <c r="T89" s="62"/>
    </row>
    <row r="90" spans="1:20" s="73" customFormat="1">
      <c r="A90" s="8"/>
      <c r="B90" s="8"/>
      <c r="C90" s="8"/>
      <c r="D90" s="45"/>
      <c r="E90" s="45"/>
      <c r="F90" s="49" t="s">
        <v>48</v>
      </c>
      <c r="G90" s="83">
        <v>15000</v>
      </c>
      <c r="H90" s="83">
        <f>5000+5000</f>
        <v>10000</v>
      </c>
      <c r="I90" s="83">
        <f t="shared" si="60"/>
        <v>10000</v>
      </c>
      <c r="J90" s="75">
        <f t="shared" si="56"/>
        <v>10000</v>
      </c>
      <c r="K90" s="35">
        <f>'1.05.'!M89</f>
        <v>10000</v>
      </c>
      <c r="L90" s="35"/>
      <c r="M90" s="80">
        <f t="shared" si="57"/>
        <v>10000</v>
      </c>
      <c r="N90" s="35">
        <f t="shared" si="58"/>
        <v>0</v>
      </c>
      <c r="O90" s="70">
        <f t="shared" si="59"/>
        <v>100</v>
      </c>
      <c r="P90" s="71">
        <f t="shared" si="48"/>
        <v>0</v>
      </c>
      <c r="Q90" s="35">
        <f t="shared" si="49"/>
        <v>0</v>
      </c>
      <c r="R90" s="72">
        <v>1103660</v>
      </c>
      <c r="S90" s="72">
        <f t="shared" si="50"/>
        <v>5000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12</v>
      </c>
      <c r="G91" s="83">
        <v>15000</v>
      </c>
      <c r="H91" s="83">
        <f>1000+1000+1000+1000</f>
        <v>4000</v>
      </c>
      <c r="I91" s="83">
        <f t="shared" si="60"/>
        <v>4000</v>
      </c>
      <c r="J91" s="75">
        <f t="shared" si="56"/>
        <v>4000</v>
      </c>
      <c r="K91" s="35">
        <f>'1.05.'!M90</f>
        <v>3000</v>
      </c>
      <c r="L91" s="35">
        <v>1000</v>
      </c>
      <c r="M91" s="80">
        <f t="shared" si="57"/>
        <v>4000</v>
      </c>
      <c r="N91" s="35">
        <f t="shared" si="58"/>
        <v>0</v>
      </c>
      <c r="O91" s="70">
        <f t="shared" si="59"/>
        <v>100</v>
      </c>
      <c r="P91" s="71">
        <f t="shared" si="48"/>
        <v>0</v>
      </c>
      <c r="Q91" s="35">
        <f t="shared" si="49"/>
        <v>0</v>
      </c>
      <c r="R91" s="72">
        <v>1103661</v>
      </c>
      <c r="S91" s="72">
        <f t="shared" si="50"/>
        <v>11000</v>
      </c>
      <c r="T91" s="62"/>
    </row>
    <row r="92" spans="1:20" s="73" customFormat="1">
      <c r="A92" s="8"/>
      <c r="B92" s="8"/>
      <c r="C92" s="8"/>
      <c r="D92" s="45"/>
      <c r="E92" s="45"/>
      <c r="F92" s="49" t="s">
        <v>11</v>
      </c>
      <c r="G92" s="83">
        <v>15000</v>
      </c>
      <c r="H92" s="83">
        <f>1440+3462+6137+3961</f>
        <v>15000</v>
      </c>
      <c r="I92" s="83">
        <f t="shared" si="60"/>
        <v>15000</v>
      </c>
      <c r="J92" s="75">
        <f t="shared" si="56"/>
        <v>15000</v>
      </c>
      <c r="K92" s="35">
        <f>'1.05.'!M91</f>
        <v>11039</v>
      </c>
      <c r="L92" s="35">
        <v>3961</v>
      </c>
      <c r="M92" s="80">
        <f t="shared" si="57"/>
        <v>15000</v>
      </c>
      <c r="N92" s="35">
        <f t="shared" si="58"/>
        <v>0</v>
      </c>
      <c r="O92" s="70">
        <f t="shared" si="59"/>
        <v>100</v>
      </c>
      <c r="P92" s="71">
        <f t="shared" si="48"/>
        <v>0</v>
      </c>
      <c r="Q92" s="35">
        <f t="shared" si="49"/>
        <v>0</v>
      </c>
      <c r="R92" s="72">
        <v>1103662</v>
      </c>
      <c r="S92" s="72">
        <f t="shared" si="50"/>
        <v>0</v>
      </c>
      <c r="T92" s="62"/>
    </row>
    <row r="93" spans="1:20" s="73" customFormat="1">
      <c r="A93" s="8"/>
      <c r="B93" s="8"/>
      <c r="C93" s="8"/>
      <c r="D93" s="45"/>
      <c r="E93" s="45"/>
      <c r="F93" s="51" t="s">
        <v>65</v>
      </c>
      <c r="G93" s="82">
        <f>SUM(G94:G101)</f>
        <v>130000</v>
      </c>
      <c r="H93" s="82">
        <f t="shared" ref="H93:O93" si="61">SUM(H94:H101)</f>
        <v>34222</v>
      </c>
      <c r="I93" s="82">
        <f t="shared" si="61"/>
        <v>34222</v>
      </c>
      <c r="J93" s="108">
        <f t="shared" si="61"/>
        <v>34222</v>
      </c>
      <c r="K93" s="108">
        <f t="shared" si="61"/>
        <v>1616</v>
      </c>
      <c r="L93" s="108">
        <f t="shared" si="61"/>
        <v>32606</v>
      </c>
      <c r="M93" s="108">
        <f t="shared" si="61"/>
        <v>34222</v>
      </c>
      <c r="N93" s="108">
        <f t="shared" si="61"/>
        <v>0</v>
      </c>
      <c r="O93" s="82" t="e">
        <f t="shared" si="61"/>
        <v>#DIV/0!</v>
      </c>
      <c r="P93" s="71">
        <f t="shared" si="48"/>
        <v>0</v>
      </c>
      <c r="Q93" s="35">
        <f t="shared" si="49"/>
        <v>0</v>
      </c>
      <c r="R93" s="72">
        <v>1103654</v>
      </c>
      <c r="S93" s="72">
        <f t="shared" si="50"/>
        <v>95778</v>
      </c>
      <c r="T93" s="62"/>
    </row>
    <row r="94" spans="1:20" s="73" customFormat="1">
      <c r="A94" s="8"/>
      <c r="B94" s="8"/>
      <c r="C94" s="8"/>
      <c r="D94" s="45"/>
      <c r="E94" s="45"/>
      <c r="F94" s="47" t="s">
        <v>46</v>
      </c>
      <c r="G94" s="48">
        <v>86229</v>
      </c>
      <c r="H94" s="83">
        <v>26324</v>
      </c>
      <c r="I94" s="83">
        <f>H94</f>
        <v>26324</v>
      </c>
      <c r="J94" s="75">
        <f t="shared" ref="J94:J101" si="62">M94</f>
        <v>26324</v>
      </c>
      <c r="K94" s="35">
        <f>'1.05.'!M93</f>
        <v>0</v>
      </c>
      <c r="L94" s="35">
        <v>26324</v>
      </c>
      <c r="M94" s="80">
        <f t="shared" ref="M94:M101" si="63">K94+L94</f>
        <v>26324</v>
      </c>
      <c r="N94" s="35">
        <f t="shared" ref="N94:N101" si="64">I94-M94</f>
        <v>0</v>
      </c>
      <c r="O94" s="70">
        <f t="shared" ref="O94:O101" si="65">M94/I94*100</f>
        <v>100</v>
      </c>
      <c r="P94" s="71">
        <f t="shared" si="48"/>
        <v>0</v>
      </c>
      <c r="Q94" s="35">
        <f t="shared" si="49"/>
        <v>0</v>
      </c>
      <c r="R94" s="72">
        <v>1103655</v>
      </c>
      <c r="S94" s="72">
        <f t="shared" si="50"/>
        <v>59905</v>
      </c>
      <c r="T94" s="62"/>
    </row>
    <row r="95" spans="1:20" s="73" customFormat="1">
      <c r="A95" s="8"/>
      <c r="B95" s="8"/>
      <c r="C95" s="8"/>
      <c r="D95" s="45"/>
      <c r="E95" s="45"/>
      <c r="F95" s="47" t="s">
        <v>8</v>
      </c>
      <c r="G95" s="48">
        <v>4898</v>
      </c>
      <c r="H95" s="83">
        <f>616+4282</f>
        <v>4898</v>
      </c>
      <c r="I95" s="83">
        <f t="shared" ref="I95:I101" si="66">H95</f>
        <v>4898</v>
      </c>
      <c r="J95" s="75">
        <f t="shared" si="62"/>
        <v>4898</v>
      </c>
      <c r="K95" s="35">
        <f>'1.05.'!M94</f>
        <v>616</v>
      </c>
      <c r="L95" s="35">
        <v>4282</v>
      </c>
      <c r="M95" s="80">
        <f t="shared" si="63"/>
        <v>4898</v>
      </c>
      <c r="N95" s="35">
        <f t="shared" si="64"/>
        <v>0</v>
      </c>
      <c r="O95" s="70">
        <f t="shared" si="65"/>
        <v>100</v>
      </c>
      <c r="P95" s="71">
        <f t="shared" si="48"/>
        <v>0</v>
      </c>
      <c r="Q95" s="35">
        <f t="shared" si="49"/>
        <v>0</v>
      </c>
      <c r="R95" s="72">
        <v>1103656</v>
      </c>
      <c r="S95" s="72">
        <f t="shared" si="50"/>
        <v>0</v>
      </c>
      <c r="T95" s="62"/>
    </row>
    <row r="96" spans="1:20" s="73" customFormat="1">
      <c r="A96" s="8"/>
      <c r="B96" s="8"/>
      <c r="C96" s="8"/>
      <c r="D96" s="45"/>
      <c r="E96" s="45"/>
      <c r="F96" s="49" t="s">
        <v>9</v>
      </c>
      <c r="G96" s="48">
        <v>3290</v>
      </c>
      <c r="H96" s="83"/>
      <c r="I96" s="83">
        <f t="shared" si="66"/>
        <v>0</v>
      </c>
      <c r="J96" s="75">
        <f t="shared" si="62"/>
        <v>0</v>
      </c>
      <c r="K96" s="35">
        <f>'1.05.'!M95</f>
        <v>0</v>
      </c>
      <c r="L96" s="35"/>
      <c r="M96" s="80">
        <f t="shared" si="63"/>
        <v>0</v>
      </c>
      <c r="N96" s="35">
        <f t="shared" si="64"/>
        <v>0</v>
      </c>
      <c r="O96" s="70" t="e">
        <f t="shared" si="65"/>
        <v>#DIV/0!</v>
      </c>
      <c r="P96" s="71">
        <f t="shared" si="48"/>
        <v>0</v>
      </c>
      <c r="Q96" s="35">
        <f t="shared" si="49"/>
        <v>0</v>
      </c>
      <c r="R96" s="72">
        <v>1103657</v>
      </c>
      <c r="S96" s="72">
        <f t="shared" si="50"/>
        <v>3290</v>
      </c>
      <c r="T96" s="62"/>
    </row>
    <row r="97" spans="1:20" s="73" customFormat="1">
      <c r="A97" s="8"/>
      <c r="B97" s="8"/>
      <c r="C97" s="8"/>
      <c r="D97" s="45"/>
      <c r="E97" s="45"/>
      <c r="F97" s="49" t="s">
        <v>10</v>
      </c>
      <c r="G97" s="48">
        <v>3918</v>
      </c>
      <c r="H97" s="83"/>
      <c r="I97" s="83">
        <f t="shared" si="66"/>
        <v>0</v>
      </c>
      <c r="J97" s="75">
        <f t="shared" si="62"/>
        <v>0</v>
      </c>
      <c r="K97" s="35">
        <f>'1.05.'!M96</f>
        <v>0</v>
      </c>
      <c r="L97" s="35"/>
      <c r="M97" s="80">
        <f t="shared" si="63"/>
        <v>0</v>
      </c>
      <c r="N97" s="35">
        <f t="shared" si="64"/>
        <v>0</v>
      </c>
      <c r="O97" s="70" t="e">
        <f t="shared" si="65"/>
        <v>#DIV/0!</v>
      </c>
      <c r="P97" s="71">
        <f t="shared" si="48"/>
        <v>0</v>
      </c>
      <c r="Q97" s="35">
        <f t="shared" si="49"/>
        <v>0</v>
      </c>
      <c r="R97" s="72">
        <v>1103658</v>
      </c>
      <c r="S97" s="72">
        <f t="shared" si="50"/>
        <v>3918</v>
      </c>
      <c r="T97" s="62"/>
    </row>
    <row r="98" spans="1:20" s="73" customFormat="1">
      <c r="A98" s="8"/>
      <c r="B98" s="8"/>
      <c r="C98" s="8"/>
      <c r="D98" s="45"/>
      <c r="E98" s="45"/>
      <c r="F98" s="49" t="s">
        <v>47</v>
      </c>
      <c r="G98" s="48">
        <v>4017</v>
      </c>
      <c r="H98" s="83">
        <v>2000</v>
      </c>
      <c r="I98" s="83">
        <f t="shared" si="66"/>
        <v>2000</v>
      </c>
      <c r="J98" s="75">
        <f t="shared" si="62"/>
        <v>2000</v>
      </c>
      <c r="K98" s="35">
        <f>'1.05.'!M97</f>
        <v>0</v>
      </c>
      <c r="L98" s="35">
        <v>2000</v>
      </c>
      <c r="M98" s="80">
        <f t="shared" si="63"/>
        <v>2000</v>
      </c>
      <c r="N98" s="35">
        <f t="shared" si="64"/>
        <v>0</v>
      </c>
      <c r="O98" s="70">
        <f t="shared" si="65"/>
        <v>100</v>
      </c>
      <c r="P98" s="71">
        <f t="shared" si="48"/>
        <v>0</v>
      </c>
      <c r="Q98" s="35">
        <f t="shared" si="49"/>
        <v>0</v>
      </c>
      <c r="R98" s="72">
        <v>1103659</v>
      </c>
      <c r="S98" s="72">
        <f t="shared" si="50"/>
        <v>2017</v>
      </c>
      <c r="T98" s="62"/>
    </row>
    <row r="99" spans="1:20" s="73" customFormat="1">
      <c r="A99" s="8"/>
      <c r="B99" s="8"/>
      <c r="C99" s="8"/>
      <c r="D99" s="45"/>
      <c r="E99" s="45"/>
      <c r="F99" s="49" t="s">
        <v>48</v>
      </c>
      <c r="G99" s="48">
        <v>12606</v>
      </c>
      <c r="H99" s="83"/>
      <c r="I99" s="83">
        <f t="shared" si="66"/>
        <v>0</v>
      </c>
      <c r="J99" s="75">
        <f t="shared" si="62"/>
        <v>0</v>
      </c>
      <c r="K99" s="35">
        <f>'1.05.'!M98</f>
        <v>0</v>
      </c>
      <c r="L99" s="35"/>
      <c r="M99" s="80">
        <f t="shared" si="63"/>
        <v>0</v>
      </c>
      <c r="N99" s="35">
        <f t="shared" si="64"/>
        <v>0</v>
      </c>
      <c r="O99" s="70" t="e">
        <f t="shared" si="65"/>
        <v>#DIV/0!</v>
      </c>
      <c r="P99" s="71">
        <f t="shared" si="48"/>
        <v>0</v>
      </c>
      <c r="Q99" s="35">
        <f t="shared" si="49"/>
        <v>0</v>
      </c>
      <c r="R99" s="72">
        <v>1103660</v>
      </c>
      <c r="S99" s="72">
        <f t="shared" si="50"/>
        <v>12606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12</v>
      </c>
      <c r="G100" s="48">
        <v>9417</v>
      </c>
      <c r="H100" s="83">
        <v>1000</v>
      </c>
      <c r="I100" s="83">
        <f t="shared" si="66"/>
        <v>1000</v>
      </c>
      <c r="J100" s="75">
        <f t="shared" si="62"/>
        <v>1000</v>
      </c>
      <c r="K100" s="35">
        <f>'1.05.'!M99</f>
        <v>1000</v>
      </c>
      <c r="L100" s="35"/>
      <c r="M100" s="80">
        <f t="shared" si="63"/>
        <v>1000</v>
      </c>
      <c r="N100" s="35">
        <f t="shared" si="64"/>
        <v>0</v>
      </c>
      <c r="O100" s="70">
        <f t="shared" si="65"/>
        <v>100</v>
      </c>
      <c r="P100" s="71">
        <f t="shared" si="48"/>
        <v>0</v>
      </c>
      <c r="Q100" s="35">
        <f t="shared" si="49"/>
        <v>0</v>
      </c>
      <c r="R100" s="72">
        <v>1103661</v>
      </c>
      <c r="S100" s="72">
        <f t="shared" si="50"/>
        <v>8417</v>
      </c>
      <c r="T100" s="62"/>
    </row>
    <row r="101" spans="1:20" s="73" customFormat="1">
      <c r="A101" s="8"/>
      <c r="B101" s="8"/>
      <c r="C101" s="8"/>
      <c r="D101" s="45"/>
      <c r="E101" s="45"/>
      <c r="F101" s="49" t="s">
        <v>11</v>
      </c>
      <c r="G101" s="48">
        <v>5625</v>
      </c>
      <c r="H101" s="83"/>
      <c r="I101" s="83">
        <f t="shared" si="66"/>
        <v>0</v>
      </c>
      <c r="J101" s="75">
        <f t="shared" si="62"/>
        <v>0</v>
      </c>
      <c r="K101" s="35">
        <f>'1.05.'!M100</f>
        <v>0</v>
      </c>
      <c r="L101" s="35"/>
      <c r="M101" s="80">
        <f t="shared" si="63"/>
        <v>0</v>
      </c>
      <c r="N101" s="35">
        <f t="shared" si="64"/>
        <v>0</v>
      </c>
      <c r="O101" s="70" t="e">
        <f t="shared" si="65"/>
        <v>#DIV/0!</v>
      </c>
      <c r="P101" s="71">
        <f t="shared" si="48"/>
        <v>0</v>
      </c>
      <c r="Q101" s="35">
        <f t="shared" si="49"/>
        <v>0</v>
      </c>
      <c r="R101" s="72">
        <v>1103662</v>
      </c>
      <c r="S101" s="72">
        <f t="shared" si="50"/>
        <v>5625</v>
      </c>
      <c r="T101" s="62"/>
    </row>
    <row r="102" spans="1:20" s="73" customFormat="1" ht="25.5">
      <c r="A102" s="9"/>
      <c r="B102" s="9"/>
      <c r="C102" s="8" t="s">
        <v>13</v>
      </c>
      <c r="D102" s="69"/>
      <c r="E102" s="69"/>
      <c r="F102" s="120" t="s">
        <v>113</v>
      </c>
      <c r="G102" s="23">
        <f>G103</f>
        <v>200616</v>
      </c>
      <c r="H102" s="23">
        <f t="shared" ref="H102:M102" si="67">H103</f>
        <v>107835</v>
      </c>
      <c r="I102" s="23">
        <f t="shared" si="67"/>
        <v>0</v>
      </c>
      <c r="J102" s="109">
        <f t="shared" si="67"/>
        <v>107835</v>
      </c>
      <c r="K102" s="35">
        <f>'1.02.'!M92</f>
        <v>0</v>
      </c>
      <c r="L102" s="85">
        <f t="shared" si="67"/>
        <v>0</v>
      </c>
      <c r="M102" s="104">
        <f t="shared" si="67"/>
        <v>0</v>
      </c>
      <c r="N102" s="85">
        <f>N103</f>
        <v>0</v>
      </c>
      <c r="O102" s="68" t="e">
        <f t="shared" si="59"/>
        <v>#DIV/0!</v>
      </c>
      <c r="P102" s="71">
        <f t="shared" si="48"/>
        <v>107835</v>
      </c>
      <c r="Q102" s="35">
        <f t="shared" si="49"/>
        <v>0</v>
      </c>
      <c r="R102" s="72">
        <v>1103663</v>
      </c>
      <c r="S102" s="72">
        <f t="shared" si="50"/>
        <v>200616</v>
      </c>
      <c r="T102" s="62">
        <f t="shared" ref="T102:T149" si="68">G102-J102</f>
        <v>92781</v>
      </c>
    </row>
    <row r="103" spans="1:20">
      <c r="A103" s="9"/>
      <c r="B103" s="9"/>
      <c r="C103" s="9"/>
      <c r="D103" s="21" t="s">
        <v>7</v>
      </c>
      <c r="E103" s="69"/>
      <c r="F103" s="122" t="s">
        <v>85</v>
      </c>
      <c r="G103" s="56">
        <f>G104+G105</f>
        <v>200616</v>
      </c>
      <c r="H103" s="56">
        <f t="shared" ref="H103:N103" si="69">H104+H105</f>
        <v>107835</v>
      </c>
      <c r="I103" s="56">
        <f t="shared" si="69"/>
        <v>0</v>
      </c>
      <c r="J103" s="56">
        <f t="shared" si="69"/>
        <v>107835</v>
      </c>
      <c r="K103" s="35">
        <f>'1.02.'!M93</f>
        <v>0</v>
      </c>
      <c r="L103" s="56">
        <f t="shared" si="69"/>
        <v>0</v>
      </c>
      <c r="M103" s="56">
        <f t="shared" si="69"/>
        <v>0</v>
      </c>
      <c r="N103" s="56">
        <f t="shared" si="69"/>
        <v>0</v>
      </c>
      <c r="O103" s="70" t="e">
        <f t="shared" si="59"/>
        <v>#DIV/0!</v>
      </c>
      <c r="P103" s="71">
        <f t="shared" si="48"/>
        <v>107835</v>
      </c>
      <c r="Q103" s="35">
        <f t="shared" si="49"/>
        <v>0</v>
      </c>
      <c r="R103" s="72">
        <v>1103664</v>
      </c>
      <c r="S103" s="72">
        <f t="shared" si="50"/>
        <v>200616</v>
      </c>
      <c r="T103" s="62">
        <f t="shared" si="68"/>
        <v>92781</v>
      </c>
    </row>
    <row r="104" spans="1:20">
      <c r="A104" s="9"/>
      <c r="B104" s="9"/>
      <c r="C104" s="9"/>
      <c r="D104" s="69"/>
      <c r="E104" s="69">
        <v>159</v>
      </c>
      <c r="F104" s="122" t="s">
        <v>84</v>
      </c>
      <c r="G104" s="26">
        <v>200616</v>
      </c>
      <c r="H104" s="37">
        <v>107835</v>
      </c>
      <c r="I104" s="37">
        <v>0</v>
      </c>
      <c r="J104" s="110">
        <v>107835</v>
      </c>
      <c r="K104" s="35">
        <f>'1.05.'!M103</f>
        <v>0</v>
      </c>
      <c r="L104" s="80"/>
      <c r="M104" s="80">
        <f>K104+L104</f>
        <v>0</v>
      </c>
      <c r="N104" s="80">
        <f>I104-M104</f>
        <v>0</v>
      </c>
      <c r="O104" s="70" t="e">
        <f t="shared" si="59"/>
        <v>#DIV/0!</v>
      </c>
      <c r="P104" s="71">
        <f t="shared" si="48"/>
        <v>107835</v>
      </c>
      <c r="Q104" s="35">
        <f t="shared" si="49"/>
        <v>0</v>
      </c>
      <c r="R104" s="72">
        <v>1103665</v>
      </c>
      <c r="S104" s="72">
        <f t="shared" si="50"/>
        <v>200616</v>
      </c>
      <c r="T104" s="62">
        <f t="shared" si="68"/>
        <v>92781</v>
      </c>
    </row>
    <row r="105" spans="1:20">
      <c r="A105" s="9"/>
      <c r="B105" s="9"/>
      <c r="C105" s="9"/>
      <c r="D105" s="69"/>
      <c r="E105" s="69">
        <v>322</v>
      </c>
      <c r="F105" s="78" t="s">
        <v>154</v>
      </c>
      <c r="G105" s="26"/>
      <c r="H105" s="37"/>
      <c r="I105" s="37"/>
      <c r="J105" s="110">
        <f>M105</f>
        <v>0</v>
      </c>
      <c r="K105" s="35">
        <f>'1.05.'!M104</f>
        <v>0</v>
      </c>
      <c r="L105" s="110"/>
      <c r="M105" s="80">
        <f>K105+L105</f>
        <v>0</v>
      </c>
      <c r="N105" s="80">
        <f>I105-M105</f>
        <v>0</v>
      </c>
      <c r="O105" s="70" t="e">
        <f t="shared" si="59"/>
        <v>#DIV/0!</v>
      </c>
      <c r="P105" s="71">
        <f t="shared" si="48"/>
        <v>0</v>
      </c>
      <c r="Q105" s="35">
        <f t="shared" si="49"/>
        <v>0</v>
      </c>
      <c r="R105" s="72">
        <v>1103666</v>
      </c>
      <c r="S105" s="72">
        <f t="shared" si="50"/>
        <v>0</v>
      </c>
    </row>
    <row r="106" spans="1:20" ht="51">
      <c r="A106" s="9"/>
      <c r="B106" s="9"/>
      <c r="C106" s="17" t="s">
        <v>41</v>
      </c>
      <c r="D106" s="69"/>
      <c r="E106" s="69"/>
      <c r="F106" s="79" t="s">
        <v>128</v>
      </c>
      <c r="G106" s="74">
        <f>G107</f>
        <v>20000</v>
      </c>
      <c r="H106" s="74">
        <f t="shared" ref="H106:O107" si="70">H107</f>
        <v>13390</v>
      </c>
      <c r="I106" s="74">
        <f t="shared" si="70"/>
        <v>4449.7</v>
      </c>
      <c r="J106" s="96">
        <f t="shared" si="70"/>
        <v>13390</v>
      </c>
      <c r="K106" s="35">
        <f>'1.02.'!M96</f>
        <v>0</v>
      </c>
      <c r="L106" s="89">
        <f t="shared" si="70"/>
        <v>1103</v>
      </c>
      <c r="M106" s="89">
        <f t="shared" si="70"/>
        <v>4449.7</v>
      </c>
      <c r="N106" s="91">
        <f t="shared" si="70"/>
        <v>0</v>
      </c>
      <c r="O106" s="74">
        <f t="shared" si="70"/>
        <v>100</v>
      </c>
      <c r="P106" s="71">
        <f t="shared" si="48"/>
        <v>8940.2999999999993</v>
      </c>
      <c r="Q106" s="35">
        <f t="shared" si="49"/>
        <v>0</v>
      </c>
      <c r="R106" s="72">
        <v>1103667</v>
      </c>
      <c r="S106" s="72">
        <f t="shared" si="50"/>
        <v>15550.3</v>
      </c>
      <c r="T106" s="62">
        <f>G106-J106</f>
        <v>6610</v>
      </c>
    </row>
    <row r="107" spans="1:20" s="73" customFormat="1">
      <c r="A107" s="8"/>
      <c r="B107" s="8"/>
      <c r="C107" s="8"/>
      <c r="D107" s="17" t="s">
        <v>35</v>
      </c>
      <c r="E107" s="21"/>
      <c r="F107" s="79"/>
      <c r="G107" s="88">
        <f>G108</f>
        <v>20000</v>
      </c>
      <c r="H107" s="74">
        <f t="shared" si="70"/>
        <v>13390</v>
      </c>
      <c r="I107" s="74">
        <f t="shared" si="70"/>
        <v>4449.7</v>
      </c>
      <c r="J107" s="96">
        <f t="shared" si="70"/>
        <v>13390</v>
      </c>
      <c r="K107" s="35">
        <f>'1.02.'!M97</f>
        <v>0</v>
      </c>
      <c r="L107" s="89">
        <f t="shared" si="70"/>
        <v>1103</v>
      </c>
      <c r="M107" s="89">
        <f t="shared" si="70"/>
        <v>4449.7</v>
      </c>
      <c r="N107" s="89">
        <f t="shared" si="70"/>
        <v>0</v>
      </c>
      <c r="O107" s="68">
        <f>M107/I107*100</f>
        <v>100</v>
      </c>
      <c r="P107" s="71">
        <f t="shared" si="48"/>
        <v>8940.2999999999993</v>
      </c>
      <c r="Q107" s="35">
        <f t="shared" si="49"/>
        <v>0</v>
      </c>
      <c r="R107" s="72">
        <v>1103668</v>
      </c>
      <c r="S107" s="72">
        <f t="shared" si="50"/>
        <v>15550.3</v>
      </c>
      <c r="T107" s="62">
        <f>G107-J107</f>
        <v>6610</v>
      </c>
    </row>
    <row r="108" spans="1:20">
      <c r="A108" s="9"/>
      <c r="B108" s="9"/>
      <c r="C108" s="9"/>
      <c r="D108" s="69"/>
      <c r="E108" s="69">
        <v>159</v>
      </c>
      <c r="F108" s="78" t="s">
        <v>155</v>
      </c>
      <c r="G108" s="41">
        <v>20000</v>
      </c>
      <c r="H108" s="72">
        <v>13390</v>
      </c>
      <c r="I108" s="72">
        <v>4449.7</v>
      </c>
      <c r="J108" s="94">
        <v>13390</v>
      </c>
      <c r="K108" s="35">
        <f>'1.05.'!M107</f>
        <v>3346.7</v>
      </c>
      <c r="L108" s="90">
        <v>1103</v>
      </c>
      <c r="M108" s="90">
        <f>K108+L108</f>
        <v>4449.7</v>
      </c>
      <c r="N108" s="90">
        <f>I108-M108</f>
        <v>0</v>
      </c>
      <c r="O108" s="70">
        <f>M108/I108*100</f>
        <v>100</v>
      </c>
      <c r="P108" s="71">
        <f t="shared" si="48"/>
        <v>8940.2999999999993</v>
      </c>
      <c r="Q108" s="35">
        <f t="shared" si="49"/>
        <v>0</v>
      </c>
      <c r="R108" s="72">
        <v>1103669</v>
      </c>
      <c r="S108" s="72">
        <f t="shared" si="50"/>
        <v>15550.3</v>
      </c>
      <c r="T108" s="62">
        <f>G108-J108</f>
        <v>6610</v>
      </c>
    </row>
    <row r="109" spans="1:20" s="73" customFormat="1">
      <c r="A109" s="8"/>
      <c r="B109" s="8" t="s">
        <v>24</v>
      </c>
      <c r="C109" s="8"/>
      <c r="D109" s="21"/>
      <c r="E109" s="21"/>
      <c r="F109" s="139" t="s">
        <v>114</v>
      </c>
      <c r="G109" s="59">
        <f t="shared" ref="G109:N110" si="71">G110</f>
        <v>588262</v>
      </c>
      <c r="H109" s="59">
        <f t="shared" si="71"/>
        <v>279623.8</v>
      </c>
      <c r="I109" s="59">
        <f t="shared" si="71"/>
        <v>240729.8</v>
      </c>
      <c r="J109" s="29">
        <f t="shared" si="71"/>
        <v>257476.05733000001</v>
      </c>
      <c r="K109" s="29">
        <f>'1.02.'!M99</f>
        <v>46251.970999999998</v>
      </c>
      <c r="L109" s="29">
        <f t="shared" si="71"/>
        <v>49165.485609999996</v>
      </c>
      <c r="M109" s="29">
        <f t="shared" si="71"/>
        <v>230379.32329999999</v>
      </c>
      <c r="N109" s="29">
        <f t="shared" si="71"/>
        <v>10350.476700000017</v>
      </c>
      <c r="O109" s="68">
        <f t="shared" si="59"/>
        <v>95.700375815540909</v>
      </c>
      <c r="P109" s="71">
        <f t="shared" si="48"/>
        <v>27096.734030000021</v>
      </c>
      <c r="Q109" s="35">
        <f t="shared" si="49"/>
        <v>22147.742669999978</v>
      </c>
      <c r="R109" s="72">
        <v>1103670</v>
      </c>
      <c r="S109" s="72">
        <f t="shared" si="50"/>
        <v>357882.67670000001</v>
      </c>
      <c r="T109" s="62">
        <f t="shared" si="68"/>
        <v>330785.94267000002</v>
      </c>
    </row>
    <row r="110" spans="1:20" ht="76.5">
      <c r="A110" s="8"/>
      <c r="B110" s="8"/>
      <c r="C110" s="17" t="s">
        <v>7</v>
      </c>
      <c r="D110" s="17"/>
      <c r="E110" s="21"/>
      <c r="F110" s="139" t="s">
        <v>115</v>
      </c>
      <c r="G110" s="59">
        <f>G111</f>
        <v>588262</v>
      </c>
      <c r="H110" s="59">
        <f t="shared" si="71"/>
        <v>279623.8</v>
      </c>
      <c r="I110" s="59">
        <f t="shared" si="71"/>
        <v>240729.8</v>
      </c>
      <c r="J110" s="29">
        <f t="shared" si="71"/>
        <v>257476.05733000001</v>
      </c>
      <c r="K110" s="29">
        <f>'1.02.'!M100</f>
        <v>46251.970999999998</v>
      </c>
      <c r="L110" s="29">
        <f t="shared" si="71"/>
        <v>49165.485609999996</v>
      </c>
      <c r="M110" s="60">
        <f t="shared" si="71"/>
        <v>230379.32329999999</v>
      </c>
      <c r="N110" s="60">
        <f t="shared" si="71"/>
        <v>10350.476700000017</v>
      </c>
      <c r="O110" s="68">
        <f t="shared" si="59"/>
        <v>95.700375815540909</v>
      </c>
      <c r="P110" s="29">
        <f t="shared" si="48"/>
        <v>27096.734030000021</v>
      </c>
      <c r="Q110" s="29">
        <f t="shared" si="49"/>
        <v>22147.742669999978</v>
      </c>
      <c r="R110" s="74">
        <v>1103671</v>
      </c>
      <c r="S110" s="74">
        <f t="shared" si="50"/>
        <v>357882.67670000001</v>
      </c>
      <c r="T110" s="62">
        <f t="shared" si="68"/>
        <v>330785.94267000002</v>
      </c>
    </row>
    <row r="111" spans="1:20">
      <c r="A111" s="8"/>
      <c r="B111" s="8"/>
      <c r="C111" s="17"/>
      <c r="D111" s="17" t="s">
        <v>7</v>
      </c>
      <c r="E111" s="10"/>
      <c r="F111" s="140" t="s">
        <v>85</v>
      </c>
      <c r="G111" s="33">
        <f>SUM(G112:G129)</f>
        <v>588262</v>
      </c>
      <c r="H111" s="33">
        <f t="shared" ref="H111:N111" si="72">SUM(H112:H129)</f>
        <v>279623.8</v>
      </c>
      <c r="I111" s="33">
        <f t="shared" si="72"/>
        <v>240729.8</v>
      </c>
      <c r="J111" s="29">
        <f t="shared" si="72"/>
        <v>257476.05733000001</v>
      </c>
      <c r="K111" s="29">
        <f t="shared" si="72"/>
        <v>181213.83769000001</v>
      </c>
      <c r="L111" s="29">
        <f t="shared" si="72"/>
        <v>49165.485609999996</v>
      </c>
      <c r="M111" s="29">
        <f t="shared" si="72"/>
        <v>230379.32329999999</v>
      </c>
      <c r="N111" s="29">
        <f t="shared" si="72"/>
        <v>10350.476700000017</v>
      </c>
      <c r="O111" s="68">
        <f t="shared" si="59"/>
        <v>95.700375815540909</v>
      </c>
      <c r="P111" s="71">
        <f t="shared" si="48"/>
        <v>27096.734030000021</v>
      </c>
      <c r="Q111" s="35">
        <f t="shared" si="49"/>
        <v>22147.742669999978</v>
      </c>
      <c r="R111" s="72">
        <v>1103672</v>
      </c>
      <c r="S111" s="72">
        <f t="shared" si="50"/>
        <v>357882.67670000001</v>
      </c>
      <c r="T111" s="62">
        <f t="shared" si="68"/>
        <v>330785.94267000002</v>
      </c>
    </row>
    <row r="112" spans="1:20">
      <c r="A112" s="8"/>
      <c r="B112" s="8"/>
      <c r="C112" s="8"/>
      <c r="D112" s="21"/>
      <c r="E112" s="69">
        <v>111</v>
      </c>
      <c r="F112" s="136" t="s">
        <v>86</v>
      </c>
      <c r="G112" s="26">
        <v>408393</v>
      </c>
      <c r="H112" s="37">
        <v>152000</v>
      </c>
      <c r="I112" s="37">
        <v>152000</v>
      </c>
      <c r="J112" s="75">
        <f>M112</f>
        <v>149192.85999999999</v>
      </c>
      <c r="K112" s="35">
        <f>'1.05.'!M111</f>
        <v>118303.91899999999</v>
      </c>
      <c r="L112" s="35">
        <v>30888.940999999999</v>
      </c>
      <c r="M112" s="92">
        <f t="shared" ref="M112:M194" si="73">K112+L112</f>
        <v>149192.85999999999</v>
      </c>
      <c r="N112" s="93">
        <f t="shared" ref="N112:N194" si="74">I112-M112</f>
        <v>2807.140000000014</v>
      </c>
      <c r="O112" s="70">
        <f t="shared" si="59"/>
        <v>98.153197368421047</v>
      </c>
      <c r="P112" s="71">
        <f t="shared" si="48"/>
        <v>0</v>
      </c>
      <c r="Q112" s="35">
        <f t="shared" si="49"/>
        <v>2807.140000000014</v>
      </c>
      <c r="R112" s="72">
        <v>1103673</v>
      </c>
      <c r="S112" s="72">
        <f t="shared" si="50"/>
        <v>259200.14</v>
      </c>
      <c r="T112" s="62">
        <f t="shared" si="68"/>
        <v>259200.14</v>
      </c>
    </row>
    <row r="113" spans="1:20">
      <c r="A113" s="8"/>
      <c r="B113" s="8"/>
      <c r="C113" s="8"/>
      <c r="D113" s="21"/>
      <c r="E113" s="69">
        <v>112</v>
      </c>
      <c r="F113" s="136" t="s">
        <v>87</v>
      </c>
      <c r="G113" s="26"/>
      <c r="H113" s="37"/>
      <c r="I113" s="37"/>
      <c r="J113" s="75">
        <f t="shared" ref="J113:J119" si="75">M113</f>
        <v>0</v>
      </c>
      <c r="K113" s="35">
        <f>'1.05.'!M112</f>
        <v>0</v>
      </c>
      <c r="L113" s="35"/>
      <c r="M113" s="92">
        <f t="shared" si="73"/>
        <v>0</v>
      </c>
      <c r="N113" s="93">
        <f t="shared" si="74"/>
        <v>0</v>
      </c>
      <c r="O113" s="70" t="e">
        <f t="shared" si="59"/>
        <v>#DIV/0!</v>
      </c>
      <c r="P113" s="71">
        <f t="shared" si="48"/>
        <v>0</v>
      </c>
      <c r="Q113" s="35">
        <f t="shared" si="49"/>
        <v>0</v>
      </c>
      <c r="R113" s="72">
        <v>1103674</v>
      </c>
      <c r="S113" s="72">
        <f t="shared" si="50"/>
        <v>0</v>
      </c>
    </row>
    <row r="114" spans="1:20">
      <c r="A114" s="8"/>
      <c r="B114" s="8"/>
      <c r="C114" s="8"/>
      <c r="D114" s="21"/>
      <c r="E114" s="76">
        <v>113</v>
      </c>
      <c r="F114" s="136" t="s">
        <v>88</v>
      </c>
      <c r="G114" s="26">
        <v>14739</v>
      </c>
      <c r="H114" s="37">
        <v>3061</v>
      </c>
      <c r="I114" s="37">
        <v>3061</v>
      </c>
      <c r="J114" s="75">
        <f t="shared" si="75"/>
        <v>2758.998</v>
      </c>
      <c r="K114" s="35">
        <f>'1.05.'!M113</f>
        <v>2261</v>
      </c>
      <c r="L114" s="35">
        <v>497.99799999999999</v>
      </c>
      <c r="M114" s="92">
        <f t="shared" si="73"/>
        <v>2758.998</v>
      </c>
      <c r="N114" s="93">
        <f t="shared" si="74"/>
        <v>302.00199999999995</v>
      </c>
      <c r="O114" s="70">
        <f t="shared" si="59"/>
        <v>90.133877817706633</v>
      </c>
      <c r="P114" s="71">
        <f t="shared" si="48"/>
        <v>0</v>
      </c>
      <c r="Q114" s="35">
        <f t="shared" si="49"/>
        <v>302.00199999999995</v>
      </c>
      <c r="R114" s="72">
        <v>1103675</v>
      </c>
      <c r="S114" s="72">
        <f t="shared" si="50"/>
        <v>11980.002</v>
      </c>
      <c r="T114" s="62">
        <f t="shared" si="68"/>
        <v>11980.002</v>
      </c>
    </row>
    <row r="115" spans="1:20">
      <c r="A115" s="8"/>
      <c r="B115" s="8"/>
      <c r="C115" s="8"/>
      <c r="D115" s="21"/>
      <c r="E115" s="69">
        <v>116</v>
      </c>
      <c r="F115" s="136" t="s">
        <v>89</v>
      </c>
      <c r="G115" s="26">
        <v>9468</v>
      </c>
      <c r="H115" s="37">
        <v>1555</v>
      </c>
      <c r="I115" s="37">
        <v>1555</v>
      </c>
      <c r="J115" s="75">
        <f t="shared" si="75"/>
        <v>1553.79</v>
      </c>
      <c r="K115" s="35">
        <f>'1.05.'!M114</f>
        <v>1165.8</v>
      </c>
      <c r="L115" s="35">
        <v>387.99</v>
      </c>
      <c r="M115" s="92">
        <f>K115+L115</f>
        <v>1553.79</v>
      </c>
      <c r="N115" s="93">
        <f>I115-M115</f>
        <v>1.2100000000000364</v>
      </c>
      <c r="O115" s="70">
        <f>M115/I115*100</f>
        <v>99.922186495176845</v>
      </c>
      <c r="P115" s="71">
        <f t="shared" si="48"/>
        <v>0</v>
      </c>
      <c r="Q115" s="35">
        <f t="shared" si="49"/>
        <v>1.2100000000000364</v>
      </c>
      <c r="R115" s="72">
        <v>1103676</v>
      </c>
      <c r="S115" s="72">
        <f t="shared" si="50"/>
        <v>7914.21</v>
      </c>
    </row>
    <row r="116" spans="1:20">
      <c r="A116" s="8"/>
      <c r="B116" s="8"/>
      <c r="C116" s="8"/>
      <c r="D116" s="21"/>
      <c r="E116" s="69">
        <v>121</v>
      </c>
      <c r="F116" s="136" t="s">
        <v>90</v>
      </c>
      <c r="G116" s="26">
        <v>19586</v>
      </c>
      <c r="H116" s="37">
        <v>7000</v>
      </c>
      <c r="I116" s="37">
        <v>7000</v>
      </c>
      <c r="J116" s="75">
        <f t="shared" si="75"/>
        <v>7000</v>
      </c>
      <c r="K116" s="35">
        <f>'1.05.'!M115</f>
        <v>5600</v>
      </c>
      <c r="L116" s="35">
        <v>1400</v>
      </c>
      <c r="M116" s="92">
        <f t="shared" si="73"/>
        <v>7000</v>
      </c>
      <c r="N116" s="93">
        <f t="shared" si="74"/>
        <v>0</v>
      </c>
      <c r="O116" s="70">
        <f t="shared" si="59"/>
        <v>100</v>
      </c>
      <c r="P116" s="71">
        <f t="shared" si="48"/>
        <v>0</v>
      </c>
      <c r="Q116" s="35">
        <f t="shared" si="49"/>
        <v>0</v>
      </c>
      <c r="R116" s="72">
        <v>1103677</v>
      </c>
      <c r="S116" s="72">
        <f t="shared" si="50"/>
        <v>12586</v>
      </c>
      <c r="T116" s="62">
        <f t="shared" si="68"/>
        <v>12586</v>
      </c>
    </row>
    <row r="117" spans="1:20" ht="25.5">
      <c r="A117" s="8"/>
      <c r="B117" s="8"/>
      <c r="C117" s="8"/>
      <c r="D117" s="21"/>
      <c r="E117" s="69">
        <v>122</v>
      </c>
      <c r="F117" s="136" t="s">
        <v>91</v>
      </c>
      <c r="G117" s="26">
        <v>17015</v>
      </c>
      <c r="H117" s="37">
        <v>6100</v>
      </c>
      <c r="I117" s="37">
        <v>6100</v>
      </c>
      <c r="J117" s="75">
        <f t="shared" si="75"/>
        <v>6099.601999999999</v>
      </c>
      <c r="K117" s="35">
        <f>'1.05.'!M116</f>
        <v>3598.8279999999995</v>
      </c>
      <c r="L117" s="35">
        <v>2500.7739999999999</v>
      </c>
      <c r="M117" s="92">
        <f>K117+L117</f>
        <v>6099.601999999999</v>
      </c>
      <c r="N117" s="93">
        <f t="shared" si="74"/>
        <v>0.39800000000104774</v>
      </c>
      <c r="O117" s="70">
        <f t="shared" si="59"/>
        <v>99.993475409836051</v>
      </c>
      <c r="P117" s="71">
        <f t="shared" si="48"/>
        <v>0</v>
      </c>
      <c r="Q117" s="35">
        <f t="shared" si="49"/>
        <v>0.39800000000104774</v>
      </c>
      <c r="R117" s="72">
        <v>1103678</v>
      </c>
      <c r="S117" s="72">
        <f t="shared" si="50"/>
        <v>10915.398000000001</v>
      </c>
      <c r="T117" s="62">
        <f t="shared" si="68"/>
        <v>10915.398000000001</v>
      </c>
    </row>
    <row r="118" spans="1:20">
      <c r="A118" s="8"/>
      <c r="B118" s="8"/>
      <c r="C118" s="8"/>
      <c r="D118" s="21"/>
      <c r="E118" s="69">
        <v>123</v>
      </c>
      <c r="F118" s="136" t="s">
        <v>92</v>
      </c>
      <c r="G118" s="26">
        <v>195</v>
      </c>
      <c r="H118" s="37">
        <v>96</v>
      </c>
      <c r="I118" s="37">
        <v>96</v>
      </c>
      <c r="J118" s="75">
        <f t="shared" si="75"/>
        <v>95.31</v>
      </c>
      <c r="K118" s="35">
        <f>'1.05.'!M117</f>
        <v>45.572000000000003</v>
      </c>
      <c r="L118" s="35">
        <v>49.738</v>
      </c>
      <c r="M118" s="92">
        <f t="shared" si="73"/>
        <v>95.31</v>
      </c>
      <c r="N118" s="93">
        <f t="shared" si="74"/>
        <v>0.68999999999999773</v>
      </c>
      <c r="O118" s="70">
        <f t="shared" si="59"/>
        <v>99.28125</v>
      </c>
      <c r="P118" s="71">
        <f t="shared" si="48"/>
        <v>0</v>
      </c>
      <c r="Q118" s="35">
        <f t="shared" si="49"/>
        <v>0.68999999999999773</v>
      </c>
      <c r="R118" s="72">
        <v>1103679</v>
      </c>
      <c r="S118" s="72">
        <f t="shared" si="50"/>
        <v>99.69</v>
      </c>
      <c r="T118" s="62">
        <f t="shared" si="68"/>
        <v>99.69</v>
      </c>
    </row>
    <row r="119" spans="1:20">
      <c r="A119" s="9"/>
      <c r="B119" s="8"/>
      <c r="C119" s="8"/>
      <c r="D119" s="21"/>
      <c r="E119" s="69">
        <v>124</v>
      </c>
      <c r="F119" s="136" t="s">
        <v>93</v>
      </c>
      <c r="G119" s="26">
        <v>11343</v>
      </c>
      <c r="H119" s="37">
        <v>4000</v>
      </c>
      <c r="I119" s="37">
        <v>4000</v>
      </c>
      <c r="J119" s="75">
        <f t="shared" si="75"/>
        <v>3724.3940000000002</v>
      </c>
      <c r="K119" s="35">
        <f>'1.05.'!M118</f>
        <v>2219.3140000000003</v>
      </c>
      <c r="L119" s="35">
        <v>1505.08</v>
      </c>
      <c r="M119" s="92">
        <f t="shared" si="73"/>
        <v>3724.3940000000002</v>
      </c>
      <c r="N119" s="93">
        <f t="shared" si="74"/>
        <v>275.60599999999977</v>
      </c>
      <c r="O119" s="70">
        <f t="shared" si="59"/>
        <v>93.109850000000009</v>
      </c>
      <c r="P119" s="71">
        <f t="shared" si="48"/>
        <v>0</v>
      </c>
      <c r="Q119" s="35">
        <f t="shared" si="49"/>
        <v>275.60599999999977</v>
      </c>
      <c r="R119" s="72">
        <v>1103680</v>
      </c>
      <c r="S119" s="72">
        <f t="shared" si="50"/>
        <v>7618.6059999999998</v>
      </c>
      <c r="T119" s="62">
        <f t="shared" si="68"/>
        <v>7618.6059999999998</v>
      </c>
    </row>
    <row r="120" spans="1:20" s="73" customFormat="1">
      <c r="A120" s="9"/>
      <c r="B120" s="8"/>
      <c r="C120" s="8"/>
      <c r="D120" s="21"/>
      <c r="E120" s="69">
        <v>141</v>
      </c>
      <c r="F120" s="136" t="s">
        <v>116</v>
      </c>
      <c r="G120" s="26">
        <f>44952-157</f>
        <v>44795</v>
      </c>
      <c r="H120" s="37">
        <v>44795</v>
      </c>
      <c r="I120" s="37">
        <v>14602</v>
      </c>
      <c r="J120" s="75">
        <v>35881.979350000001</v>
      </c>
      <c r="K120" s="35">
        <f>'1.05.'!M119</f>
        <v>5188.0843599999998</v>
      </c>
      <c r="L120" s="35">
        <v>9410.8527599999998</v>
      </c>
      <c r="M120" s="92">
        <f t="shared" si="73"/>
        <v>14598.937119999999</v>
      </c>
      <c r="N120" s="93">
        <f t="shared" si="74"/>
        <v>3.0628800000013143</v>
      </c>
      <c r="O120" s="70">
        <f t="shared" si="59"/>
        <v>99.979024243254344</v>
      </c>
      <c r="P120" s="71">
        <f t="shared" si="48"/>
        <v>21283.042230000003</v>
      </c>
      <c r="Q120" s="35">
        <f t="shared" si="49"/>
        <v>8913.0206499999986</v>
      </c>
      <c r="R120" s="72">
        <v>1103681</v>
      </c>
      <c r="S120" s="72">
        <f t="shared" si="50"/>
        <v>30196.062880000001</v>
      </c>
      <c r="T120" s="62">
        <f t="shared" si="68"/>
        <v>8913.0206499999986</v>
      </c>
    </row>
    <row r="121" spans="1:20">
      <c r="A121" s="9"/>
      <c r="B121" s="8"/>
      <c r="C121" s="8"/>
      <c r="D121" s="21"/>
      <c r="E121" s="69">
        <v>144</v>
      </c>
      <c r="F121" s="136" t="s">
        <v>97</v>
      </c>
      <c r="G121" s="26">
        <v>836</v>
      </c>
      <c r="H121" s="37">
        <v>836</v>
      </c>
      <c r="I121" s="37">
        <v>836</v>
      </c>
      <c r="J121" s="75">
        <v>835.96190999999999</v>
      </c>
      <c r="K121" s="35">
        <f>'1.05.'!M120</f>
        <v>835.96190999999999</v>
      </c>
      <c r="L121" s="35"/>
      <c r="M121" s="92">
        <f t="shared" si="73"/>
        <v>835.96190999999999</v>
      </c>
      <c r="N121" s="93">
        <f t="shared" si="74"/>
        <v>3.8090000000011059E-2</v>
      </c>
      <c r="O121" s="70">
        <f t="shared" si="59"/>
        <v>99.995443779904306</v>
      </c>
      <c r="P121" s="71">
        <f t="shared" si="48"/>
        <v>0</v>
      </c>
      <c r="Q121" s="35">
        <f t="shared" si="49"/>
        <v>3.8090000000011059E-2</v>
      </c>
      <c r="R121" s="72">
        <v>1103682</v>
      </c>
      <c r="S121" s="72">
        <f t="shared" si="50"/>
        <v>3.8090000000011059E-2</v>
      </c>
      <c r="T121" s="62">
        <f t="shared" si="68"/>
        <v>3.8090000000011059E-2</v>
      </c>
    </row>
    <row r="122" spans="1:20">
      <c r="A122" s="9"/>
      <c r="B122" s="8"/>
      <c r="C122" s="8"/>
      <c r="D122" s="21"/>
      <c r="E122" s="69">
        <v>149</v>
      </c>
      <c r="F122" s="136" t="s">
        <v>98</v>
      </c>
      <c r="G122" s="26">
        <f>5652+157</f>
        <v>5809</v>
      </c>
      <c r="H122" s="37">
        <v>5537.8</v>
      </c>
      <c r="I122" s="37">
        <v>5406.8</v>
      </c>
      <c r="J122" s="75">
        <v>5402.2660500000002</v>
      </c>
      <c r="K122" s="35">
        <f>'1.05.'!M121</f>
        <v>4551.4853199999998</v>
      </c>
      <c r="L122" s="35">
        <v>850.78072999999995</v>
      </c>
      <c r="M122" s="92">
        <f t="shared" si="73"/>
        <v>5402.2660500000002</v>
      </c>
      <c r="N122" s="93">
        <f t="shared" si="74"/>
        <v>4.5339500000000044</v>
      </c>
      <c r="O122" s="70">
        <f t="shared" si="59"/>
        <v>99.91614355996154</v>
      </c>
      <c r="P122" s="71">
        <f t="shared" si="48"/>
        <v>0</v>
      </c>
      <c r="Q122" s="35">
        <f t="shared" si="49"/>
        <v>135.53395</v>
      </c>
      <c r="R122" s="72">
        <v>1103683</v>
      </c>
      <c r="S122" s="72">
        <f t="shared" si="50"/>
        <v>406.73394999999982</v>
      </c>
      <c r="T122" s="62">
        <f t="shared" si="68"/>
        <v>406.73394999999982</v>
      </c>
    </row>
    <row r="123" spans="1:20">
      <c r="A123" s="9"/>
      <c r="B123" s="8"/>
      <c r="C123" s="8"/>
      <c r="D123" s="21"/>
      <c r="E123" s="69">
        <v>151</v>
      </c>
      <c r="F123" s="136" t="s">
        <v>99</v>
      </c>
      <c r="G123" s="26">
        <v>43006</v>
      </c>
      <c r="H123" s="37">
        <v>43006</v>
      </c>
      <c r="I123" s="37">
        <v>43006</v>
      </c>
      <c r="J123" s="75">
        <f t="shared" ref="J123:J129" si="76">M123</f>
        <v>36975.00404</v>
      </c>
      <c r="K123" s="35">
        <f>'1.05.'!M122</f>
        <v>36090.930780000002</v>
      </c>
      <c r="L123" s="35">
        <v>884.07326</v>
      </c>
      <c r="M123" s="92">
        <f t="shared" si="73"/>
        <v>36975.00404</v>
      </c>
      <c r="N123" s="93">
        <f t="shared" si="74"/>
        <v>6030.9959600000002</v>
      </c>
      <c r="O123" s="70">
        <f t="shared" si="59"/>
        <v>85.976384783518583</v>
      </c>
      <c r="P123" s="71">
        <f t="shared" si="48"/>
        <v>0</v>
      </c>
      <c r="Q123" s="35">
        <f t="shared" si="49"/>
        <v>6030.9959600000002</v>
      </c>
      <c r="R123" s="72">
        <v>1103684</v>
      </c>
      <c r="S123" s="72">
        <f t="shared" si="50"/>
        <v>6030.9959600000002</v>
      </c>
      <c r="T123" s="62">
        <f t="shared" si="68"/>
        <v>6030.9959600000002</v>
      </c>
    </row>
    <row r="124" spans="1:20">
      <c r="A124" s="9"/>
      <c r="B124" s="9"/>
      <c r="C124" s="9"/>
      <c r="D124" s="69"/>
      <c r="E124" s="69">
        <v>152</v>
      </c>
      <c r="F124" s="136" t="s">
        <v>100</v>
      </c>
      <c r="G124" s="26">
        <v>2907</v>
      </c>
      <c r="H124" s="37">
        <v>2907</v>
      </c>
      <c r="I124" s="37">
        <v>552</v>
      </c>
      <c r="J124" s="75">
        <v>1667.3999799999999</v>
      </c>
      <c r="K124" s="35">
        <f>'1.05.'!M123</f>
        <v>360.10032000000001</v>
      </c>
      <c r="L124" s="35">
        <v>113.61785999999999</v>
      </c>
      <c r="M124" s="92">
        <f t="shared" si="73"/>
        <v>473.71818000000002</v>
      </c>
      <c r="N124" s="93">
        <f t="shared" si="74"/>
        <v>78.281819999999982</v>
      </c>
      <c r="O124" s="70">
        <f t="shared" si="59"/>
        <v>85.818510869565216</v>
      </c>
      <c r="P124" s="71">
        <f t="shared" si="48"/>
        <v>1193.6817999999998</v>
      </c>
      <c r="Q124" s="35">
        <f t="shared" si="49"/>
        <v>1239.6000200000001</v>
      </c>
      <c r="R124" s="72">
        <v>1103685</v>
      </c>
      <c r="S124" s="72">
        <f t="shared" si="50"/>
        <v>2433.2818200000002</v>
      </c>
      <c r="T124" s="62">
        <f t="shared" si="68"/>
        <v>1239.6000200000001</v>
      </c>
    </row>
    <row r="125" spans="1:20" ht="25.5">
      <c r="A125" s="9"/>
      <c r="B125" s="9"/>
      <c r="C125" s="9"/>
      <c r="D125" s="69"/>
      <c r="E125" s="69">
        <v>158</v>
      </c>
      <c r="F125" s="136" t="s">
        <v>101</v>
      </c>
      <c r="G125" s="26">
        <f>730+1670</f>
        <v>2400</v>
      </c>
      <c r="H125" s="37">
        <v>2400</v>
      </c>
      <c r="I125" s="37">
        <v>799</v>
      </c>
      <c r="J125" s="75">
        <v>2400</v>
      </c>
      <c r="K125" s="35">
        <f>'1.05.'!M124</f>
        <v>183</v>
      </c>
      <c r="L125" s="35">
        <v>228</v>
      </c>
      <c r="M125" s="92">
        <f t="shared" si="73"/>
        <v>411</v>
      </c>
      <c r="N125" s="93">
        <f t="shared" si="74"/>
        <v>388</v>
      </c>
      <c r="O125" s="70">
        <f t="shared" si="59"/>
        <v>51.439299123904881</v>
      </c>
      <c r="P125" s="71">
        <f t="shared" si="48"/>
        <v>1989</v>
      </c>
      <c r="Q125" s="35">
        <f t="shared" si="49"/>
        <v>0</v>
      </c>
      <c r="R125" s="72">
        <v>1103686</v>
      </c>
      <c r="S125" s="72">
        <f t="shared" si="50"/>
        <v>1989</v>
      </c>
      <c r="T125" s="62">
        <f t="shared" si="68"/>
        <v>0</v>
      </c>
    </row>
    <row r="126" spans="1:20">
      <c r="A126" s="9"/>
      <c r="B126" s="8"/>
      <c r="C126" s="8"/>
      <c r="D126" s="69"/>
      <c r="E126" s="69">
        <v>159</v>
      </c>
      <c r="F126" s="136" t="s">
        <v>84</v>
      </c>
      <c r="G126" s="26">
        <f>7990-1670</f>
        <v>6320</v>
      </c>
      <c r="H126" s="37">
        <v>6280</v>
      </c>
      <c r="I126" s="37">
        <v>1666</v>
      </c>
      <c r="J126" s="75">
        <v>3866.0920000000001</v>
      </c>
      <c r="K126" s="35">
        <f>'1.05.'!M125</f>
        <v>790.18200000000002</v>
      </c>
      <c r="L126" s="35">
        <v>444.9</v>
      </c>
      <c r="M126" s="92">
        <f t="shared" si="73"/>
        <v>1235.0819999999999</v>
      </c>
      <c r="N126" s="93">
        <f t="shared" si="74"/>
        <v>430.91800000000012</v>
      </c>
      <c r="O126" s="70">
        <f t="shared" si="59"/>
        <v>74.134573829531803</v>
      </c>
      <c r="P126" s="71">
        <f t="shared" si="48"/>
        <v>2631.01</v>
      </c>
      <c r="Q126" s="35">
        <f t="shared" si="49"/>
        <v>2413.9079999999999</v>
      </c>
      <c r="R126" s="72">
        <v>1103687</v>
      </c>
      <c r="S126" s="72">
        <f t="shared" si="50"/>
        <v>5084.9179999999997</v>
      </c>
      <c r="T126" s="62">
        <f t="shared" si="68"/>
        <v>2453.9079999999999</v>
      </c>
    </row>
    <row r="127" spans="1:20">
      <c r="A127" s="9"/>
      <c r="B127" s="8"/>
      <c r="C127" s="8"/>
      <c r="D127" s="69"/>
      <c r="E127" s="76">
        <v>161</v>
      </c>
      <c r="F127" s="136" t="s">
        <v>102</v>
      </c>
      <c r="G127" s="26">
        <v>1250</v>
      </c>
      <c r="H127" s="37"/>
      <c r="I127" s="37"/>
      <c r="J127" s="75">
        <f t="shared" si="76"/>
        <v>0</v>
      </c>
      <c r="K127" s="35">
        <f>'1.05.'!M126</f>
        <v>0</v>
      </c>
      <c r="L127" s="35"/>
      <c r="M127" s="92">
        <f t="shared" si="73"/>
        <v>0</v>
      </c>
      <c r="N127" s="93">
        <f t="shared" si="74"/>
        <v>0</v>
      </c>
      <c r="O127" s="70" t="e">
        <f t="shared" si="59"/>
        <v>#DIV/0!</v>
      </c>
      <c r="P127" s="71">
        <f t="shared" si="48"/>
        <v>0</v>
      </c>
      <c r="Q127" s="35">
        <f t="shared" si="49"/>
        <v>0</v>
      </c>
      <c r="R127" s="72">
        <v>1103688</v>
      </c>
      <c r="S127" s="72">
        <f t="shared" si="50"/>
        <v>1250</v>
      </c>
      <c r="T127" s="62">
        <f t="shared" si="68"/>
        <v>1250</v>
      </c>
    </row>
    <row r="128" spans="1:20">
      <c r="A128" s="9"/>
      <c r="B128" s="8"/>
      <c r="C128" s="8"/>
      <c r="D128" s="69"/>
      <c r="E128" s="76">
        <v>168</v>
      </c>
      <c r="F128" s="136" t="s">
        <v>167</v>
      </c>
      <c r="G128" s="26">
        <v>50</v>
      </c>
      <c r="H128" s="37">
        <v>50</v>
      </c>
      <c r="I128" s="37">
        <v>50</v>
      </c>
      <c r="J128" s="75">
        <v>22.4</v>
      </c>
      <c r="K128" s="35">
        <f>'1.05.'!M127</f>
        <v>19.66</v>
      </c>
      <c r="L128" s="35">
        <v>2.74</v>
      </c>
      <c r="M128" s="92">
        <f t="shared" si="73"/>
        <v>22.4</v>
      </c>
      <c r="N128" s="93">
        <f t="shared" si="74"/>
        <v>27.6</v>
      </c>
      <c r="O128" s="70">
        <f t="shared" si="59"/>
        <v>44.8</v>
      </c>
      <c r="P128" s="71">
        <f t="shared" si="48"/>
        <v>0</v>
      </c>
      <c r="Q128" s="35">
        <f t="shared" si="49"/>
        <v>27.6</v>
      </c>
      <c r="R128" s="72">
        <v>1103689</v>
      </c>
      <c r="S128" s="72">
        <f t="shared" si="50"/>
        <v>27.6</v>
      </c>
    </row>
    <row r="129" spans="1:20">
      <c r="A129" s="9"/>
      <c r="B129" s="8"/>
      <c r="C129" s="8"/>
      <c r="D129" s="69"/>
      <c r="E129" s="69">
        <v>169</v>
      </c>
      <c r="F129" s="136" t="s">
        <v>103</v>
      </c>
      <c r="G129" s="26">
        <f>200-50</f>
        <v>150</v>
      </c>
      <c r="H129" s="37">
        <v>0</v>
      </c>
      <c r="I129" s="37">
        <v>0</v>
      </c>
      <c r="J129" s="75">
        <f t="shared" si="76"/>
        <v>0</v>
      </c>
      <c r="K129" s="35">
        <f>'1.05.'!M128</f>
        <v>0</v>
      </c>
      <c r="L129" s="35"/>
      <c r="M129" s="92">
        <f t="shared" si="73"/>
        <v>0</v>
      </c>
      <c r="N129" s="93">
        <f t="shared" si="74"/>
        <v>0</v>
      </c>
      <c r="O129" s="70" t="e">
        <f t="shared" si="59"/>
        <v>#DIV/0!</v>
      </c>
      <c r="P129" s="71">
        <f t="shared" si="48"/>
        <v>0</v>
      </c>
      <c r="Q129" s="35">
        <f t="shared" si="49"/>
        <v>0</v>
      </c>
      <c r="R129" s="72">
        <v>1103689</v>
      </c>
      <c r="S129" s="72">
        <f t="shared" si="50"/>
        <v>150</v>
      </c>
      <c r="T129" s="62">
        <f t="shared" si="68"/>
        <v>150</v>
      </c>
    </row>
    <row r="130" spans="1:20" s="73" customFormat="1">
      <c r="A130" s="8"/>
      <c r="B130" s="17">
        <v>1263</v>
      </c>
      <c r="C130" s="12"/>
      <c r="D130" s="11"/>
      <c r="E130" s="18"/>
      <c r="F130" s="139" t="s">
        <v>117</v>
      </c>
      <c r="G130" s="42">
        <f t="shared" ref="G130:N130" si="77">G131+G150</f>
        <v>557301</v>
      </c>
      <c r="H130" s="42">
        <f t="shared" si="77"/>
        <v>269737.8</v>
      </c>
      <c r="I130" s="42">
        <f t="shared" si="77"/>
        <v>168360.19999999998</v>
      </c>
      <c r="J130" s="29">
        <f t="shared" si="77"/>
        <v>269389.67429000005</v>
      </c>
      <c r="K130" s="29">
        <f>'1.02.'!M119</f>
        <v>10083.11916</v>
      </c>
      <c r="L130" s="29">
        <f t="shared" si="77"/>
        <v>38815.027689999995</v>
      </c>
      <c r="M130" s="29">
        <f t="shared" si="77"/>
        <v>168344.19302000001</v>
      </c>
      <c r="N130" s="29">
        <f t="shared" si="77"/>
        <v>16.006979999998094</v>
      </c>
      <c r="O130" s="68">
        <f t="shared" si="59"/>
        <v>99.990492420417667</v>
      </c>
      <c r="P130" s="35">
        <f t="shared" si="48"/>
        <v>101045.48127000005</v>
      </c>
      <c r="Q130" s="35">
        <f t="shared" si="49"/>
        <v>348.12570999993477</v>
      </c>
      <c r="R130" s="72">
        <v>1103690</v>
      </c>
      <c r="S130" s="72">
        <f>G130-M130</f>
        <v>388956.80697999999</v>
      </c>
      <c r="T130" s="62">
        <f>G130-J130</f>
        <v>287911.32570999995</v>
      </c>
    </row>
    <row r="131" spans="1:20" s="73" customFormat="1" ht="63.75">
      <c r="A131" s="8"/>
      <c r="B131" s="12"/>
      <c r="C131" s="12" t="s">
        <v>25</v>
      </c>
      <c r="D131" s="11"/>
      <c r="E131" s="18"/>
      <c r="F131" s="139" t="s">
        <v>118</v>
      </c>
      <c r="G131" s="42">
        <f>G132</f>
        <v>557301</v>
      </c>
      <c r="H131" s="42">
        <f t="shared" ref="H131:N131" si="78">H132</f>
        <v>269737.8</v>
      </c>
      <c r="I131" s="42">
        <f t="shared" si="78"/>
        <v>168360.19999999998</v>
      </c>
      <c r="J131" s="42">
        <f t="shared" si="78"/>
        <v>269389.67429000005</v>
      </c>
      <c r="K131" s="29">
        <f>'1.02.'!M120</f>
        <v>10083.11916</v>
      </c>
      <c r="L131" s="29">
        <f t="shared" si="78"/>
        <v>38815.027689999995</v>
      </c>
      <c r="M131" s="42">
        <f t="shared" si="78"/>
        <v>168344.19302000001</v>
      </c>
      <c r="N131" s="29">
        <f t="shared" si="78"/>
        <v>16.006979999998094</v>
      </c>
      <c r="O131" s="68">
        <f t="shared" si="59"/>
        <v>99.990492420417667</v>
      </c>
      <c r="P131" s="71">
        <f t="shared" si="48"/>
        <v>101045.48127000005</v>
      </c>
      <c r="Q131" s="35">
        <f t="shared" si="49"/>
        <v>348.12570999993477</v>
      </c>
      <c r="R131" s="72">
        <v>1103691</v>
      </c>
      <c r="S131" s="72">
        <f t="shared" si="50"/>
        <v>388956.80697999999</v>
      </c>
      <c r="T131" s="62">
        <f t="shared" si="68"/>
        <v>287911.32570999995</v>
      </c>
    </row>
    <row r="132" spans="1:20" s="73" customFormat="1">
      <c r="A132" s="8"/>
      <c r="B132" s="12"/>
      <c r="C132" s="12"/>
      <c r="D132" s="11" t="s">
        <v>7</v>
      </c>
      <c r="E132" s="19"/>
      <c r="F132" s="140" t="s">
        <v>85</v>
      </c>
      <c r="G132" s="30">
        <f>SUM(G133:G149)</f>
        <v>557301</v>
      </c>
      <c r="H132" s="30">
        <f t="shared" ref="H132:N132" si="79">SUM(H133:H149)</f>
        <v>269737.8</v>
      </c>
      <c r="I132" s="30">
        <f t="shared" si="79"/>
        <v>168360.19999999998</v>
      </c>
      <c r="J132" s="32">
        <f>SUM(J133:J149)</f>
        <v>269389.67429000005</v>
      </c>
      <c r="K132" s="29">
        <f>'1.02.'!M121</f>
        <v>10083.11916</v>
      </c>
      <c r="L132" s="32">
        <f>SUM(L133:L149)</f>
        <v>38815.027689999995</v>
      </c>
      <c r="M132" s="32">
        <f t="shared" si="79"/>
        <v>168344.19302000001</v>
      </c>
      <c r="N132" s="32">
        <f t="shared" si="79"/>
        <v>16.006979999998094</v>
      </c>
      <c r="O132" s="68">
        <f t="shared" si="59"/>
        <v>99.990492420417667</v>
      </c>
      <c r="P132" s="71">
        <f t="shared" si="48"/>
        <v>101045.48127000005</v>
      </c>
      <c r="Q132" s="35">
        <f t="shared" si="49"/>
        <v>348.12570999993477</v>
      </c>
      <c r="R132" s="72">
        <v>1103692</v>
      </c>
      <c r="S132" s="72">
        <f t="shared" si="50"/>
        <v>388956.80697999999</v>
      </c>
      <c r="T132" s="62">
        <f t="shared" si="68"/>
        <v>287911.32570999995</v>
      </c>
    </row>
    <row r="133" spans="1:20">
      <c r="A133" s="8"/>
      <c r="B133" s="13"/>
      <c r="C133" s="13"/>
      <c r="D133" s="14"/>
      <c r="E133" s="20">
        <v>111</v>
      </c>
      <c r="F133" s="136" t="s">
        <v>86</v>
      </c>
      <c r="G133" s="34">
        <f>288321-2200</f>
        <v>286121</v>
      </c>
      <c r="H133" s="34">
        <v>79199.3</v>
      </c>
      <c r="I133" s="34">
        <v>79199.3</v>
      </c>
      <c r="J133" s="75">
        <f>M133</f>
        <v>79199.3</v>
      </c>
      <c r="K133" s="35">
        <f>'1.05.'!M132</f>
        <v>60399.3</v>
      </c>
      <c r="L133" s="36">
        <v>18800</v>
      </c>
      <c r="M133" s="92">
        <f t="shared" si="73"/>
        <v>79199.3</v>
      </c>
      <c r="N133" s="93">
        <f>I133-M133</f>
        <v>0</v>
      </c>
      <c r="O133" s="70">
        <f t="shared" si="59"/>
        <v>100</v>
      </c>
      <c r="P133" s="71">
        <f t="shared" si="48"/>
        <v>0</v>
      </c>
      <c r="Q133" s="35">
        <f t="shared" si="49"/>
        <v>0</v>
      </c>
      <c r="R133" s="72">
        <v>1103693</v>
      </c>
      <c r="S133" s="72">
        <f t="shared" si="50"/>
        <v>206921.7</v>
      </c>
      <c r="T133" s="62">
        <f t="shared" si="68"/>
        <v>206921.7</v>
      </c>
    </row>
    <row r="134" spans="1:20">
      <c r="A134" s="8"/>
      <c r="B134" s="13"/>
      <c r="C134" s="13"/>
      <c r="D134" s="14"/>
      <c r="E134" s="20">
        <v>112</v>
      </c>
      <c r="F134" s="136" t="s">
        <v>87</v>
      </c>
      <c r="G134" s="34">
        <v>3669.3</v>
      </c>
      <c r="H134" s="34">
        <v>3669.3</v>
      </c>
      <c r="I134" s="34">
        <v>3669.3</v>
      </c>
      <c r="J134" s="75">
        <f t="shared" ref="J134:J148" si="80">M134</f>
        <v>3669.2959999999998</v>
      </c>
      <c r="K134" s="35">
        <f>'1.05.'!M133</f>
        <v>0</v>
      </c>
      <c r="L134" s="36">
        <v>3669.2959999999998</v>
      </c>
      <c r="M134" s="92">
        <f t="shared" si="73"/>
        <v>3669.2959999999998</v>
      </c>
      <c r="N134" s="93">
        <f>I134-M134</f>
        <v>4.0000000003601599E-3</v>
      </c>
      <c r="O134" s="70">
        <f t="shared" si="59"/>
        <v>99.999890987381775</v>
      </c>
      <c r="P134" s="71">
        <f t="shared" si="48"/>
        <v>0</v>
      </c>
      <c r="Q134" s="35">
        <f t="shared" si="49"/>
        <v>4.0000000003601599E-3</v>
      </c>
      <c r="R134" s="72">
        <v>1103694</v>
      </c>
      <c r="S134" s="72">
        <f t="shared" si="50"/>
        <v>4.0000000003601599E-3</v>
      </c>
    </row>
    <row r="135" spans="1:20">
      <c r="A135" s="8"/>
      <c r="B135" s="15"/>
      <c r="C135" s="15"/>
      <c r="D135" s="16"/>
      <c r="E135" s="20">
        <v>113</v>
      </c>
      <c r="F135" s="136" t="s">
        <v>88</v>
      </c>
      <c r="G135" s="34">
        <v>7446</v>
      </c>
      <c r="H135" s="34">
        <v>1517</v>
      </c>
      <c r="I135" s="34">
        <v>1517</v>
      </c>
      <c r="J135" s="75">
        <f t="shared" si="80"/>
        <v>1516.6470000000002</v>
      </c>
      <c r="K135" s="35">
        <f>'1.05.'!M134</f>
        <v>1076.5050000000001</v>
      </c>
      <c r="L135" s="36">
        <v>440.142</v>
      </c>
      <c r="M135" s="92">
        <f t="shared" si="73"/>
        <v>1516.6470000000002</v>
      </c>
      <c r="N135" s="93">
        <f t="shared" si="74"/>
        <v>0.35299999999983811</v>
      </c>
      <c r="O135" s="70">
        <f t="shared" si="59"/>
        <v>99.976730388925517</v>
      </c>
      <c r="P135" s="71">
        <f t="shared" si="48"/>
        <v>0</v>
      </c>
      <c r="Q135" s="35">
        <f t="shared" si="49"/>
        <v>0.35299999999983811</v>
      </c>
      <c r="R135" s="72">
        <v>1103695</v>
      </c>
      <c r="S135" s="72">
        <f t="shared" si="50"/>
        <v>5929.3530000000001</v>
      </c>
      <c r="T135" s="62">
        <f t="shared" si="68"/>
        <v>5929.3530000000001</v>
      </c>
    </row>
    <row r="136" spans="1:20">
      <c r="A136" s="8"/>
      <c r="B136" s="15"/>
      <c r="C136" s="15"/>
      <c r="D136" s="16"/>
      <c r="E136" s="69">
        <v>116</v>
      </c>
      <c r="F136" s="136" t="s">
        <v>89</v>
      </c>
      <c r="G136" s="34">
        <f>9009-131.5</f>
        <v>8877.5</v>
      </c>
      <c r="H136" s="34">
        <v>1189.5</v>
      </c>
      <c r="I136" s="34">
        <v>1189.5</v>
      </c>
      <c r="J136" s="75">
        <f t="shared" si="80"/>
        <v>1189.453</v>
      </c>
      <c r="K136" s="35">
        <f>'1.05.'!M135</f>
        <v>920.92000000000007</v>
      </c>
      <c r="L136" s="36">
        <v>268.53300000000002</v>
      </c>
      <c r="M136" s="92">
        <f>K136+L136</f>
        <v>1189.453</v>
      </c>
      <c r="N136" s="93">
        <f>I136-M136</f>
        <v>4.7000000000025466E-2</v>
      </c>
      <c r="O136" s="70">
        <f>M136/I136*100</f>
        <v>99.996048759983182</v>
      </c>
      <c r="P136" s="71">
        <f t="shared" si="48"/>
        <v>0</v>
      </c>
      <c r="Q136" s="35">
        <f t="shared" si="49"/>
        <v>4.7000000000025466E-2</v>
      </c>
      <c r="R136" s="72">
        <v>1103696</v>
      </c>
      <c r="S136" s="72">
        <f t="shared" si="50"/>
        <v>7688.0470000000005</v>
      </c>
    </row>
    <row r="137" spans="1:20">
      <c r="A137" s="8"/>
      <c r="B137" s="15"/>
      <c r="C137" s="15"/>
      <c r="D137" s="16"/>
      <c r="E137" s="20">
        <v>121</v>
      </c>
      <c r="F137" s="136" t="s">
        <v>90</v>
      </c>
      <c r="G137" s="34">
        <f>14861-20.4</f>
        <v>14840.6</v>
      </c>
      <c r="H137" s="34">
        <v>4212.8999999999996</v>
      </c>
      <c r="I137" s="34">
        <v>4212.8999999999996</v>
      </c>
      <c r="J137" s="75">
        <f t="shared" si="80"/>
        <v>4212.8949999999995</v>
      </c>
      <c r="K137" s="35">
        <f>'1.05.'!M136</f>
        <v>3124.2999999999997</v>
      </c>
      <c r="L137" s="36">
        <v>1088.595</v>
      </c>
      <c r="M137" s="92">
        <f t="shared" si="73"/>
        <v>4212.8949999999995</v>
      </c>
      <c r="N137" s="93">
        <f t="shared" si="74"/>
        <v>5.0000000001091394E-3</v>
      </c>
      <c r="O137" s="70">
        <f t="shared" si="59"/>
        <v>99.99988131690759</v>
      </c>
      <c r="P137" s="71">
        <f t="shared" si="48"/>
        <v>0</v>
      </c>
      <c r="Q137" s="35">
        <f t="shared" si="49"/>
        <v>5.0000000001091394E-3</v>
      </c>
      <c r="R137" s="72">
        <v>1103697</v>
      </c>
      <c r="S137" s="72">
        <f t="shared" si="50"/>
        <v>10627.705000000002</v>
      </c>
      <c r="T137" s="62">
        <f t="shared" si="68"/>
        <v>10627.705000000002</v>
      </c>
    </row>
    <row r="138" spans="1:20" ht="25.5">
      <c r="A138" s="8"/>
      <c r="B138" s="15"/>
      <c r="C138" s="15"/>
      <c r="D138" s="16"/>
      <c r="E138" s="20">
        <v>122</v>
      </c>
      <c r="F138" s="136" t="s">
        <v>91</v>
      </c>
      <c r="G138" s="37">
        <f>12910-1105.1</f>
        <v>11804.9</v>
      </c>
      <c r="H138" s="37">
        <v>2863.8</v>
      </c>
      <c r="I138" s="37">
        <v>2863.8</v>
      </c>
      <c r="J138" s="75">
        <f t="shared" si="80"/>
        <v>2863.7049999999999</v>
      </c>
      <c r="K138" s="35">
        <f>'1.05.'!M137</f>
        <v>2834.9</v>
      </c>
      <c r="L138" s="35">
        <v>28.805</v>
      </c>
      <c r="M138" s="92">
        <f t="shared" si="73"/>
        <v>2863.7049999999999</v>
      </c>
      <c r="N138" s="93">
        <f t="shared" si="74"/>
        <v>9.5000000000254659E-2</v>
      </c>
      <c r="O138" s="70">
        <f t="shared" si="59"/>
        <v>99.99668272924086</v>
      </c>
      <c r="P138" s="71">
        <f t="shared" si="48"/>
        <v>0</v>
      </c>
      <c r="Q138" s="35">
        <f t="shared" si="49"/>
        <v>9.5000000000254659E-2</v>
      </c>
      <c r="R138" s="72">
        <v>1103698</v>
      </c>
      <c r="S138" s="72">
        <f t="shared" si="50"/>
        <v>8941.1949999999997</v>
      </c>
      <c r="T138" s="62">
        <f t="shared" si="68"/>
        <v>8941.1949999999997</v>
      </c>
    </row>
    <row r="139" spans="1:20">
      <c r="A139" s="8"/>
      <c r="B139" s="15"/>
      <c r="C139" s="15"/>
      <c r="D139" s="16"/>
      <c r="E139" s="20">
        <v>123</v>
      </c>
      <c r="F139" s="136" t="s">
        <v>92</v>
      </c>
      <c r="G139" s="34">
        <v>228</v>
      </c>
      <c r="H139" s="34">
        <v>110</v>
      </c>
      <c r="I139" s="34">
        <v>110</v>
      </c>
      <c r="J139" s="75">
        <f t="shared" si="80"/>
        <v>95.396330000000006</v>
      </c>
      <c r="K139" s="35">
        <f>'1.05.'!M138</f>
        <v>95.396330000000006</v>
      </c>
      <c r="L139" s="36"/>
      <c r="M139" s="92">
        <f t="shared" si="73"/>
        <v>95.396330000000006</v>
      </c>
      <c r="N139" s="93">
        <f t="shared" si="74"/>
        <v>14.603669999999994</v>
      </c>
      <c r="O139" s="70">
        <f t="shared" si="59"/>
        <v>86.723936363636369</v>
      </c>
      <c r="P139" s="71">
        <f t="shared" si="48"/>
        <v>0</v>
      </c>
      <c r="Q139" s="35">
        <f t="shared" si="49"/>
        <v>14.603669999999994</v>
      </c>
      <c r="R139" s="72">
        <v>1103699</v>
      </c>
      <c r="S139" s="72">
        <f t="shared" si="50"/>
        <v>132.60366999999999</v>
      </c>
      <c r="T139" s="62">
        <f t="shared" si="68"/>
        <v>132.60366999999999</v>
      </c>
    </row>
    <row r="140" spans="1:20">
      <c r="A140" s="9"/>
      <c r="B140" s="15"/>
      <c r="C140" s="15"/>
      <c r="D140" s="16"/>
      <c r="E140" s="20">
        <v>124</v>
      </c>
      <c r="F140" s="136" t="s">
        <v>93</v>
      </c>
      <c r="G140" s="37">
        <f>8607-212.3</f>
        <v>8394.7000000000007</v>
      </c>
      <c r="H140" s="37">
        <v>1802.5</v>
      </c>
      <c r="I140" s="37">
        <v>1802.5</v>
      </c>
      <c r="J140" s="75">
        <f t="shared" si="80"/>
        <v>1802.482</v>
      </c>
      <c r="K140" s="35">
        <f>'1.05.'!M139</f>
        <v>1384.7719999999999</v>
      </c>
      <c r="L140" s="35">
        <v>417.71</v>
      </c>
      <c r="M140" s="92">
        <f t="shared" si="73"/>
        <v>1802.482</v>
      </c>
      <c r="N140" s="93">
        <f t="shared" si="74"/>
        <v>1.8000000000029104E-2</v>
      </c>
      <c r="O140" s="70">
        <f t="shared" si="59"/>
        <v>99.999001386962547</v>
      </c>
      <c r="P140" s="71">
        <f t="shared" si="48"/>
        <v>0</v>
      </c>
      <c r="Q140" s="35">
        <f t="shared" si="49"/>
        <v>1.8000000000029104E-2</v>
      </c>
      <c r="R140" s="72">
        <v>1103700</v>
      </c>
      <c r="S140" s="72">
        <f t="shared" si="50"/>
        <v>6592.2180000000008</v>
      </c>
      <c r="T140" s="62">
        <f t="shared" si="68"/>
        <v>6592.2180000000008</v>
      </c>
    </row>
    <row r="141" spans="1:20">
      <c r="A141" s="9"/>
      <c r="B141" s="15"/>
      <c r="C141" s="15"/>
      <c r="D141" s="16"/>
      <c r="E141" s="20">
        <v>141</v>
      </c>
      <c r="F141" s="136" t="s">
        <v>116</v>
      </c>
      <c r="G141" s="34">
        <v>138471</v>
      </c>
      <c r="H141" s="34">
        <v>114871</v>
      </c>
      <c r="I141" s="34">
        <v>18100</v>
      </c>
      <c r="J141" s="75">
        <v>114809.33041</v>
      </c>
      <c r="K141" s="35">
        <f>'1.05.'!M140</f>
        <v>15600</v>
      </c>
      <c r="L141" s="36">
        <v>2500</v>
      </c>
      <c r="M141" s="92">
        <f t="shared" si="73"/>
        <v>18100</v>
      </c>
      <c r="N141" s="93">
        <f t="shared" si="74"/>
        <v>0</v>
      </c>
      <c r="O141" s="70">
        <f t="shared" si="59"/>
        <v>100</v>
      </c>
      <c r="P141" s="71">
        <f t="shared" si="48"/>
        <v>96709.330409999995</v>
      </c>
      <c r="Q141" s="35">
        <f t="shared" si="49"/>
        <v>61.669590000004973</v>
      </c>
      <c r="R141" s="72">
        <v>1103701</v>
      </c>
      <c r="S141" s="72">
        <f t="shared" si="50"/>
        <v>120371</v>
      </c>
      <c r="T141" s="62">
        <f t="shared" si="68"/>
        <v>23661.669590000005</v>
      </c>
    </row>
    <row r="142" spans="1:20">
      <c r="A142" s="9"/>
      <c r="B142" s="15"/>
      <c r="C142" s="15"/>
      <c r="D142" s="16"/>
      <c r="E142" s="20">
        <v>144</v>
      </c>
      <c r="F142" s="136" t="s">
        <v>97</v>
      </c>
      <c r="G142" s="37">
        <v>1470</v>
      </c>
      <c r="H142" s="37">
        <v>1470</v>
      </c>
      <c r="I142" s="37">
        <v>1470</v>
      </c>
      <c r="J142" s="75">
        <v>1470</v>
      </c>
      <c r="K142" s="35">
        <f>'1.05.'!M141</f>
        <v>0</v>
      </c>
      <c r="L142" s="36">
        <v>1470</v>
      </c>
      <c r="M142" s="92">
        <f t="shared" si="73"/>
        <v>1470</v>
      </c>
      <c r="N142" s="93">
        <f t="shared" si="74"/>
        <v>0</v>
      </c>
      <c r="O142" s="70">
        <f t="shared" si="59"/>
        <v>100</v>
      </c>
      <c r="P142" s="71">
        <f t="shared" si="48"/>
        <v>0</v>
      </c>
      <c r="Q142" s="35">
        <f t="shared" si="49"/>
        <v>0</v>
      </c>
      <c r="R142" s="72">
        <v>1103702</v>
      </c>
      <c r="S142" s="72">
        <f t="shared" si="50"/>
        <v>0</v>
      </c>
      <c r="T142" s="62">
        <f t="shared" si="68"/>
        <v>0</v>
      </c>
    </row>
    <row r="143" spans="1:20">
      <c r="A143" s="9"/>
      <c r="B143" s="15"/>
      <c r="C143" s="15"/>
      <c r="D143" s="16"/>
      <c r="E143" s="20">
        <v>149</v>
      </c>
      <c r="F143" s="136" t="s">
        <v>98</v>
      </c>
      <c r="G143" s="34">
        <v>5557</v>
      </c>
      <c r="H143" s="34">
        <v>3589</v>
      </c>
      <c r="I143" s="34">
        <v>2775.5</v>
      </c>
      <c r="J143" s="75">
        <v>3588.97</v>
      </c>
      <c r="K143" s="35">
        <f>'1.05.'!M142</f>
        <v>2557.1999999999998</v>
      </c>
      <c r="L143" s="35">
        <v>218.3</v>
      </c>
      <c r="M143" s="93">
        <f t="shared" si="73"/>
        <v>2775.5</v>
      </c>
      <c r="N143" s="93">
        <f>I143-M143</f>
        <v>0</v>
      </c>
      <c r="O143" s="70">
        <f t="shared" si="59"/>
        <v>100</v>
      </c>
      <c r="P143" s="71">
        <f t="shared" si="48"/>
        <v>813.4699999999998</v>
      </c>
      <c r="Q143" s="35">
        <f t="shared" si="49"/>
        <v>3.0000000000200089E-2</v>
      </c>
      <c r="R143" s="72">
        <v>1103703</v>
      </c>
      <c r="S143" s="72">
        <f t="shared" si="50"/>
        <v>2781.5</v>
      </c>
      <c r="T143" s="62">
        <f t="shared" si="68"/>
        <v>1968.0300000000002</v>
      </c>
    </row>
    <row r="144" spans="1:20">
      <c r="A144" s="9"/>
      <c r="B144" s="15"/>
      <c r="C144" s="15"/>
      <c r="D144" s="16"/>
      <c r="E144" s="20">
        <v>151</v>
      </c>
      <c r="F144" s="136" t="s">
        <v>99</v>
      </c>
      <c r="G144" s="34">
        <v>60855</v>
      </c>
      <c r="H144" s="34">
        <v>48655</v>
      </c>
      <c r="I144" s="34">
        <v>48655</v>
      </c>
      <c r="J144" s="75">
        <f t="shared" si="80"/>
        <v>48654.170120000002</v>
      </c>
      <c r="K144" s="35">
        <f>'1.05.'!M143</f>
        <v>39290.986490000003</v>
      </c>
      <c r="L144" s="36">
        <v>9363.1836299999995</v>
      </c>
      <c r="M144" s="93">
        <f t="shared" si="73"/>
        <v>48654.170120000002</v>
      </c>
      <c r="N144" s="93">
        <f t="shared" si="74"/>
        <v>0.82987999999750173</v>
      </c>
      <c r="O144" s="70">
        <f t="shared" si="59"/>
        <v>99.998294358236578</v>
      </c>
      <c r="P144" s="71">
        <f t="shared" si="48"/>
        <v>0</v>
      </c>
      <c r="Q144" s="35">
        <f t="shared" si="49"/>
        <v>0.82987999999750173</v>
      </c>
      <c r="R144" s="72">
        <v>1103704</v>
      </c>
      <c r="S144" s="72">
        <f t="shared" si="50"/>
        <v>12200.829879999998</v>
      </c>
      <c r="T144" s="62">
        <f t="shared" si="68"/>
        <v>12200.829879999998</v>
      </c>
    </row>
    <row r="145" spans="1:20">
      <c r="A145" s="9"/>
      <c r="B145" s="15"/>
      <c r="C145" s="15"/>
      <c r="D145" s="16"/>
      <c r="E145" s="20">
        <v>152</v>
      </c>
      <c r="F145" s="136" t="s">
        <v>100</v>
      </c>
      <c r="G145" s="34">
        <v>1940</v>
      </c>
      <c r="H145" s="34">
        <v>880</v>
      </c>
      <c r="I145" s="34">
        <v>373.9</v>
      </c>
      <c r="J145" s="75">
        <v>879.07015999999999</v>
      </c>
      <c r="K145" s="35">
        <f>'1.05.'!M144</f>
        <v>294.43693999999999</v>
      </c>
      <c r="L145" s="36">
        <v>79.463059999999999</v>
      </c>
      <c r="M145" s="92">
        <f t="shared" si="73"/>
        <v>373.9</v>
      </c>
      <c r="N145" s="93">
        <f t="shared" si="74"/>
        <v>0</v>
      </c>
      <c r="O145" s="70">
        <f t="shared" si="59"/>
        <v>100</v>
      </c>
      <c r="P145" s="71">
        <f t="shared" si="48"/>
        <v>505.17016000000001</v>
      </c>
      <c r="Q145" s="35">
        <f t="shared" si="49"/>
        <v>0.92984000000001288</v>
      </c>
      <c r="R145" s="72">
        <v>1103705</v>
      </c>
      <c r="S145" s="72">
        <f t="shared" si="50"/>
        <v>1566.1</v>
      </c>
      <c r="T145" s="62">
        <f t="shared" si="68"/>
        <v>1060.92984</v>
      </c>
    </row>
    <row r="146" spans="1:20" ht="25.5">
      <c r="A146" s="9"/>
      <c r="B146" s="15"/>
      <c r="C146" s="15"/>
      <c r="D146" s="16"/>
      <c r="E146" s="20">
        <v>158</v>
      </c>
      <c r="F146" s="136" t="s">
        <v>101</v>
      </c>
      <c r="G146" s="34">
        <f>730+900</f>
        <v>1630</v>
      </c>
      <c r="H146" s="34">
        <v>1630</v>
      </c>
      <c r="I146" s="34">
        <v>604</v>
      </c>
      <c r="J146" s="75">
        <v>1360.6156000000001</v>
      </c>
      <c r="K146" s="35">
        <f>'1.05.'!M145</f>
        <v>469</v>
      </c>
      <c r="L146" s="36">
        <v>135</v>
      </c>
      <c r="M146" s="92">
        <f t="shared" si="73"/>
        <v>604</v>
      </c>
      <c r="N146" s="93">
        <f t="shared" si="74"/>
        <v>0</v>
      </c>
      <c r="O146" s="70">
        <f t="shared" si="59"/>
        <v>100</v>
      </c>
      <c r="P146" s="71">
        <f t="shared" si="48"/>
        <v>756.61560000000009</v>
      </c>
      <c r="Q146" s="35">
        <f t="shared" si="49"/>
        <v>269.38439999999991</v>
      </c>
      <c r="R146" s="72">
        <v>1103706</v>
      </c>
      <c r="S146" s="72">
        <f t="shared" si="50"/>
        <v>1026</v>
      </c>
      <c r="T146" s="62">
        <f t="shared" si="68"/>
        <v>269.38439999999991</v>
      </c>
    </row>
    <row r="147" spans="1:20">
      <c r="A147" s="9"/>
      <c r="B147" s="15"/>
      <c r="C147" s="15"/>
      <c r="D147" s="16"/>
      <c r="E147" s="20">
        <v>159</v>
      </c>
      <c r="F147" s="136" t="s">
        <v>84</v>
      </c>
      <c r="G147" s="34">
        <f>5598-900</f>
        <v>4698</v>
      </c>
      <c r="H147" s="34">
        <v>3207</v>
      </c>
      <c r="I147" s="34">
        <v>946</v>
      </c>
      <c r="J147" s="75">
        <v>3206.8951000000002</v>
      </c>
      <c r="K147" s="35">
        <f>'1.05.'!M146</f>
        <v>610</v>
      </c>
      <c r="L147" s="36">
        <v>336</v>
      </c>
      <c r="M147" s="92">
        <f t="shared" si="73"/>
        <v>946</v>
      </c>
      <c r="N147" s="93">
        <f t="shared" si="74"/>
        <v>0</v>
      </c>
      <c r="O147" s="70">
        <f t="shared" si="59"/>
        <v>100</v>
      </c>
      <c r="P147" s="71">
        <f t="shared" si="48"/>
        <v>2260.8951000000002</v>
      </c>
      <c r="Q147" s="35">
        <f t="shared" si="49"/>
        <v>0.10489999999981592</v>
      </c>
      <c r="R147" s="72">
        <v>1103707</v>
      </c>
      <c r="S147" s="72">
        <f t="shared" si="50"/>
        <v>3752</v>
      </c>
      <c r="T147" s="62">
        <f t="shared" si="68"/>
        <v>1491.1048999999998</v>
      </c>
    </row>
    <row r="148" spans="1:20">
      <c r="A148" s="9"/>
      <c r="B148" s="15"/>
      <c r="C148" s="15"/>
      <c r="D148" s="16"/>
      <c r="E148" s="20">
        <v>161</v>
      </c>
      <c r="F148" s="136" t="s">
        <v>102</v>
      </c>
      <c r="G148" s="37"/>
      <c r="H148" s="37"/>
      <c r="I148" s="37"/>
      <c r="J148" s="75">
        <f t="shared" si="80"/>
        <v>0</v>
      </c>
      <c r="K148" s="35">
        <f>'1.05.'!M147</f>
        <v>0</v>
      </c>
      <c r="L148" s="35"/>
      <c r="M148" s="92">
        <f t="shared" si="73"/>
        <v>0</v>
      </c>
      <c r="N148" s="93">
        <f t="shared" si="74"/>
        <v>0</v>
      </c>
      <c r="O148" s="70" t="e">
        <f t="shared" si="59"/>
        <v>#DIV/0!</v>
      </c>
      <c r="P148" s="71">
        <f t="shared" si="48"/>
        <v>0</v>
      </c>
      <c r="Q148" s="35">
        <f t="shared" si="49"/>
        <v>0</v>
      </c>
      <c r="R148" s="72">
        <v>1103708</v>
      </c>
      <c r="S148" s="72">
        <f t="shared" si="50"/>
        <v>0</v>
      </c>
      <c r="T148" s="62">
        <f t="shared" si="68"/>
        <v>0</v>
      </c>
    </row>
    <row r="149" spans="1:20">
      <c r="A149" s="9"/>
      <c r="B149" s="15"/>
      <c r="C149" s="15"/>
      <c r="D149" s="16"/>
      <c r="E149" s="20">
        <v>169</v>
      </c>
      <c r="F149" s="136" t="s">
        <v>103</v>
      </c>
      <c r="G149" s="34">
        <v>1298</v>
      </c>
      <c r="H149" s="34">
        <v>871.5</v>
      </c>
      <c r="I149" s="34">
        <v>871.5</v>
      </c>
      <c r="J149" s="75">
        <f>M149</f>
        <v>871.44857000000002</v>
      </c>
      <c r="K149" s="35">
        <f>'1.05.'!M148</f>
        <v>871.44857000000002</v>
      </c>
      <c r="L149" s="36"/>
      <c r="M149" s="92">
        <f t="shared" si="73"/>
        <v>871.44857000000002</v>
      </c>
      <c r="N149" s="93">
        <f t="shared" si="74"/>
        <v>5.1429999999982101E-2</v>
      </c>
      <c r="O149" s="70">
        <f t="shared" si="59"/>
        <v>99.994098680436025</v>
      </c>
      <c r="P149" s="71">
        <f t="shared" ref="P149:P215" si="81">J149-M149</f>
        <v>0</v>
      </c>
      <c r="Q149" s="35">
        <f t="shared" ref="Q149:Q215" si="82">H149-J149</f>
        <v>5.1429999999982101E-2</v>
      </c>
      <c r="R149" s="72">
        <v>1103709</v>
      </c>
      <c r="S149" s="72">
        <f t="shared" ref="S149:S215" si="83">G149-M149</f>
        <v>426.55142999999998</v>
      </c>
      <c r="T149" s="62">
        <f t="shared" si="68"/>
        <v>426.55142999999998</v>
      </c>
    </row>
    <row r="150" spans="1:20" ht="25.5" hidden="1">
      <c r="A150" s="100"/>
      <c r="B150" s="15"/>
      <c r="C150" s="57" t="s">
        <v>43</v>
      </c>
      <c r="D150" s="16"/>
      <c r="E150" s="20"/>
      <c r="F150" s="3" t="s">
        <v>44</v>
      </c>
      <c r="G150" s="59">
        <f t="shared" ref="G150:N151" si="84">G151</f>
        <v>0</v>
      </c>
      <c r="H150" s="59">
        <f t="shared" si="84"/>
        <v>0</v>
      </c>
      <c r="I150" s="59">
        <f t="shared" si="84"/>
        <v>0</v>
      </c>
      <c r="J150" s="33">
        <f t="shared" si="84"/>
        <v>0</v>
      </c>
      <c r="K150" s="35">
        <f>'1.05.'!M149</f>
        <v>0</v>
      </c>
      <c r="L150" s="29">
        <f t="shared" si="84"/>
        <v>0</v>
      </c>
      <c r="M150" s="59">
        <f t="shared" si="84"/>
        <v>0</v>
      </c>
      <c r="N150" s="59">
        <f t="shared" si="84"/>
        <v>0</v>
      </c>
      <c r="O150" s="70"/>
      <c r="P150" s="71">
        <f t="shared" si="81"/>
        <v>0</v>
      </c>
      <c r="Q150" s="35">
        <f t="shared" si="82"/>
        <v>0</v>
      </c>
      <c r="R150" s="72">
        <v>1103710</v>
      </c>
      <c r="S150" s="72">
        <f t="shared" si="83"/>
        <v>0</v>
      </c>
    </row>
    <row r="151" spans="1:20" hidden="1">
      <c r="A151" s="9"/>
      <c r="B151" s="12"/>
      <c r="C151" s="12"/>
      <c r="D151" s="11" t="s">
        <v>7</v>
      </c>
      <c r="E151" s="97"/>
      <c r="F151" s="4" t="s">
        <v>22</v>
      </c>
      <c r="G151" s="98">
        <f>G152</f>
        <v>0</v>
      </c>
      <c r="H151" s="98">
        <f t="shared" si="84"/>
        <v>0</v>
      </c>
      <c r="I151" s="98">
        <f t="shared" si="84"/>
        <v>0</v>
      </c>
      <c r="J151" s="99">
        <f t="shared" si="84"/>
        <v>0</v>
      </c>
      <c r="K151" s="35">
        <f>'1.05.'!M150</f>
        <v>0</v>
      </c>
      <c r="L151" s="32">
        <f t="shared" si="84"/>
        <v>0</v>
      </c>
      <c r="M151" s="98">
        <f t="shared" si="84"/>
        <v>0</v>
      </c>
      <c r="N151" s="98">
        <f t="shared" si="84"/>
        <v>0</v>
      </c>
      <c r="O151" s="68" t="e">
        <f>M151/I151*100</f>
        <v>#DIV/0!</v>
      </c>
      <c r="P151" s="71">
        <f t="shared" si="81"/>
        <v>0</v>
      </c>
      <c r="Q151" s="35">
        <f t="shared" si="82"/>
        <v>0</v>
      </c>
      <c r="R151" s="72">
        <v>1103711</v>
      </c>
      <c r="S151" s="72">
        <f t="shared" si="83"/>
        <v>0</v>
      </c>
      <c r="T151" s="62">
        <f>G151-J151</f>
        <v>0</v>
      </c>
    </row>
    <row r="152" spans="1:20" ht="25.5" hidden="1">
      <c r="A152" s="9"/>
      <c r="B152" s="13"/>
      <c r="C152" s="13"/>
      <c r="D152" s="14"/>
      <c r="E152" s="20">
        <v>414</v>
      </c>
      <c r="F152" s="86" t="s">
        <v>64</v>
      </c>
      <c r="G152" s="37"/>
      <c r="H152" s="37"/>
      <c r="I152" s="37"/>
      <c r="J152" s="75"/>
      <c r="K152" s="35">
        <f>'1.05.'!M151</f>
        <v>0</v>
      </c>
      <c r="L152" s="71"/>
      <c r="M152" s="93">
        <f t="shared" si="73"/>
        <v>0</v>
      </c>
      <c r="N152" s="93">
        <f>I152-M152</f>
        <v>0</v>
      </c>
      <c r="O152" s="70"/>
      <c r="P152" s="71">
        <f t="shared" si="81"/>
        <v>0</v>
      </c>
      <c r="Q152" s="35">
        <f t="shared" si="82"/>
        <v>0</v>
      </c>
      <c r="R152" s="72">
        <v>1103712</v>
      </c>
      <c r="S152" s="72">
        <f t="shared" si="83"/>
        <v>0</v>
      </c>
    </row>
    <row r="153" spans="1:20" s="73" customFormat="1">
      <c r="A153" s="8"/>
      <c r="B153" s="8" t="s">
        <v>14</v>
      </c>
      <c r="C153" s="8"/>
      <c r="D153" s="21"/>
      <c r="E153" s="21"/>
      <c r="F153" s="139" t="s">
        <v>120</v>
      </c>
      <c r="G153" s="59">
        <f>G154+G175</f>
        <v>316128</v>
      </c>
      <c r="H153" s="59">
        <f t="shared" ref="H153:N153" si="85">H154+H175</f>
        <v>139221.20000000001</v>
      </c>
      <c r="I153" s="59">
        <f t="shared" si="85"/>
        <v>122468.09999999999</v>
      </c>
      <c r="J153" s="29">
        <f t="shared" si="85"/>
        <v>138371.5477</v>
      </c>
      <c r="K153" s="29">
        <f t="shared" si="85"/>
        <v>18632.26413</v>
      </c>
      <c r="L153" s="29">
        <f t="shared" si="85"/>
        <v>26977.664340000003</v>
      </c>
      <c r="M153" s="29">
        <f t="shared" si="85"/>
        <v>122366.22725</v>
      </c>
      <c r="N153" s="29">
        <f t="shared" si="85"/>
        <v>101.87274999999984</v>
      </c>
      <c r="O153" s="68">
        <f t="shared" si="59"/>
        <v>99.916816909872864</v>
      </c>
      <c r="P153" s="71">
        <f t="shared" si="81"/>
        <v>16005.320449999999</v>
      </c>
      <c r="Q153" s="35">
        <f t="shared" si="82"/>
        <v>849.65230000001611</v>
      </c>
      <c r="R153" s="72">
        <v>1103713</v>
      </c>
      <c r="S153" s="72">
        <f t="shared" si="83"/>
        <v>193761.77275</v>
      </c>
      <c r="T153" s="62">
        <f t="shared" ref="T153:T234" si="86">G153-J153</f>
        <v>177756.4523</v>
      </c>
    </row>
    <row r="154" spans="1:20" ht="38.25">
      <c r="A154" s="8"/>
      <c r="B154" s="8"/>
      <c r="C154" s="17" t="s">
        <v>38</v>
      </c>
      <c r="D154" s="17"/>
      <c r="E154" s="21"/>
      <c r="F154" s="139" t="s">
        <v>121</v>
      </c>
      <c r="G154" s="42">
        <f>G155</f>
        <v>316128</v>
      </c>
      <c r="H154" s="42">
        <f t="shared" ref="H154:N154" si="87">H155</f>
        <v>139221.20000000001</v>
      </c>
      <c r="I154" s="42">
        <f t="shared" si="87"/>
        <v>122468.09999999999</v>
      </c>
      <c r="J154" s="29">
        <f t="shared" si="87"/>
        <v>138371.5477</v>
      </c>
      <c r="K154" s="29">
        <f>'1.02.'!M143</f>
        <v>18632.26413</v>
      </c>
      <c r="L154" s="29">
        <f t="shared" si="87"/>
        <v>26977.664340000003</v>
      </c>
      <c r="M154" s="42">
        <f t="shared" si="87"/>
        <v>122366.22725</v>
      </c>
      <c r="N154" s="29">
        <f t="shared" si="87"/>
        <v>101.87274999999984</v>
      </c>
      <c r="O154" s="68">
        <f t="shared" si="59"/>
        <v>99.916816909872864</v>
      </c>
      <c r="P154" s="71">
        <f t="shared" si="81"/>
        <v>16005.320449999999</v>
      </c>
      <c r="Q154" s="35">
        <f t="shared" si="82"/>
        <v>849.65230000001611</v>
      </c>
      <c r="R154" s="72">
        <v>1103714</v>
      </c>
      <c r="S154" s="72">
        <f t="shared" si="83"/>
        <v>193761.77275</v>
      </c>
      <c r="T154" s="62">
        <f t="shared" si="86"/>
        <v>177756.4523</v>
      </c>
    </row>
    <row r="155" spans="1:20">
      <c r="A155" s="8"/>
      <c r="B155" s="8"/>
      <c r="C155" s="17"/>
      <c r="D155" s="17" t="s">
        <v>7</v>
      </c>
      <c r="E155" s="10"/>
      <c r="F155" s="140" t="s">
        <v>85</v>
      </c>
      <c r="G155" s="40">
        <f>SUM(G156:G174)</f>
        <v>316128</v>
      </c>
      <c r="H155" s="40">
        <f>SUM(H156:H174)</f>
        <v>139221.20000000001</v>
      </c>
      <c r="I155" s="40">
        <f>SUM(I156:I174)</f>
        <v>122468.09999999999</v>
      </c>
      <c r="J155" s="24">
        <f>SUM(J156:J174)</f>
        <v>138371.5477</v>
      </c>
      <c r="K155" s="24">
        <f t="shared" ref="K155:N155" si="88">SUM(K156:K174)</f>
        <v>95388.562909999993</v>
      </c>
      <c r="L155" s="24">
        <f t="shared" si="88"/>
        <v>26977.664340000003</v>
      </c>
      <c r="M155" s="24">
        <f t="shared" si="88"/>
        <v>122366.22725</v>
      </c>
      <c r="N155" s="24">
        <f t="shared" si="88"/>
        <v>101.87274999999984</v>
      </c>
      <c r="O155" s="66">
        <f t="shared" si="59"/>
        <v>99.916816909872864</v>
      </c>
      <c r="P155" s="71">
        <f t="shared" si="81"/>
        <v>16005.320449999999</v>
      </c>
      <c r="Q155" s="35">
        <f t="shared" si="82"/>
        <v>849.65230000001611</v>
      </c>
      <c r="R155" s="72">
        <v>1103715</v>
      </c>
      <c r="S155" s="72">
        <f t="shared" si="83"/>
        <v>193761.77275</v>
      </c>
      <c r="T155" s="62">
        <f t="shared" si="86"/>
        <v>177756.4523</v>
      </c>
    </row>
    <row r="156" spans="1:20">
      <c r="A156" s="8"/>
      <c r="B156" s="9"/>
      <c r="C156" s="9"/>
      <c r="D156" s="69"/>
      <c r="E156" s="69">
        <v>111</v>
      </c>
      <c r="F156" s="136" t="s">
        <v>86</v>
      </c>
      <c r="G156" s="26">
        <f>216606-220</f>
        <v>216386</v>
      </c>
      <c r="H156" s="26">
        <v>86780</v>
      </c>
      <c r="I156" s="26">
        <v>86780</v>
      </c>
      <c r="J156" s="105">
        <f>M156</f>
        <v>86780</v>
      </c>
      <c r="K156" s="35">
        <f>'1.05.'!M155</f>
        <v>70000</v>
      </c>
      <c r="L156" s="27">
        <v>16780</v>
      </c>
      <c r="M156" s="92">
        <f t="shared" si="73"/>
        <v>86780</v>
      </c>
      <c r="N156" s="93">
        <f t="shared" si="74"/>
        <v>0</v>
      </c>
      <c r="O156" s="70">
        <f t="shared" si="59"/>
        <v>100</v>
      </c>
      <c r="P156" s="71">
        <f t="shared" si="81"/>
        <v>0</v>
      </c>
      <c r="Q156" s="35">
        <f t="shared" si="82"/>
        <v>0</v>
      </c>
      <c r="R156" s="72">
        <v>1103716</v>
      </c>
      <c r="S156" s="72">
        <f t="shared" si="83"/>
        <v>129606</v>
      </c>
      <c r="T156" s="62">
        <f t="shared" si="86"/>
        <v>129606</v>
      </c>
    </row>
    <row r="157" spans="1:20">
      <c r="A157" s="8"/>
      <c r="B157" s="9"/>
      <c r="C157" s="9"/>
      <c r="D157" s="69"/>
      <c r="E157" s="69">
        <v>112</v>
      </c>
      <c r="F157" s="136" t="s">
        <v>87</v>
      </c>
      <c r="G157" s="26">
        <v>220</v>
      </c>
      <c r="H157" s="26">
        <v>220</v>
      </c>
      <c r="I157" s="26">
        <v>220</v>
      </c>
      <c r="J157" s="105">
        <f t="shared" ref="J157:J168" si="89">M157</f>
        <v>220</v>
      </c>
      <c r="K157" s="35">
        <f>'1.05.'!M156</f>
        <v>0</v>
      </c>
      <c r="L157" s="27">
        <v>220</v>
      </c>
      <c r="M157" s="92">
        <f t="shared" si="73"/>
        <v>220</v>
      </c>
      <c r="N157" s="93">
        <f t="shared" si="74"/>
        <v>0</v>
      </c>
      <c r="O157" s="70">
        <f t="shared" si="59"/>
        <v>100</v>
      </c>
      <c r="P157" s="71">
        <f t="shared" si="81"/>
        <v>0</v>
      </c>
      <c r="Q157" s="35">
        <f t="shared" si="82"/>
        <v>0</v>
      </c>
      <c r="R157" s="72">
        <v>1103717</v>
      </c>
      <c r="S157" s="72">
        <f t="shared" si="83"/>
        <v>0</v>
      </c>
    </row>
    <row r="158" spans="1:20">
      <c r="A158" s="8"/>
      <c r="B158" s="9"/>
      <c r="C158" s="9"/>
      <c r="D158" s="69"/>
      <c r="E158" s="76">
        <v>113</v>
      </c>
      <c r="F158" s="136" t="s">
        <v>88</v>
      </c>
      <c r="G158" s="26">
        <v>8519</v>
      </c>
      <c r="H158" s="26">
        <v>1601</v>
      </c>
      <c r="I158" s="26">
        <v>1601</v>
      </c>
      <c r="J158" s="105">
        <f t="shared" si="89"/>
        <v>1601</v>
      </c>
      <c r="K158" s="35">
        <f>'1.05.'!M157</f>
        <v>1101</v>
      </c>
      <c r="L158" s="27">
        <v>500</v>
      </c>
      <c r="M158" s="92">
        <f t="shared" si="73"/>
        <v>1601</v>
      </c>
      <c r="N158" s="93">
        <f t="shared" si="74"/>
        <v>0</v>
      </c>
      <c r="O158" s="70">
        <f t="shared" si="59"/>
        <v>100</v>
      </c>
      <c r="P158" s="71">
        <f t="shared" si="81"/>
        <v>0</v>
      </c>
      <c r="Q158" s="35">
        <f t="shared" si="82"/>
        <v>0</v>
      </c>
      <c r="R158" s="72">
        <v>1103718</v>
      </c>
      <c r="S158" s="72">
        <f t="shared" si="83"/>
        <v>6918</v>
      </c>
      <c r="T158" s="62">
        <f t="shared" si="86"/>
        <v>6918</v>
      </c>
    </row>
    <row r="159" spans="1:20">
      <c r="A159" s="8"/>
      <c r="B159" s="9"/>
      <c r="C159" s="9"/>
      <c r="D159" s="69"/>
      <c r="E159" s="69">
        <v>116</v>
      </c>
      <c r="F159" s="136" t="s">
        <v>89</v>
      </c>
      <c r="G159" s="26">
        <v>2134</v>
      </c>
      <c r="H159" s="26">
        <v>850</v>
      </c>
      <c r="I159" s="26">
        <v>850</v>
      </c>
      <c r="J159" s="105">
        <f t="shared" si="89"/>
        <v>850</v>
      </c>
      <c r="K159" s="35">
        <f>'1.05.'!M158</f>
        <v>680</v>
      </c>
      <c r="L159" s="27">
        <v>170</v>
      </c>
      <c r="M159" s="92">
        <f>K159+L159</f>
        <v>850</v>
      </c>
      <c r="N159" s="93">
        <f>I159-M159</f>
        <v>0</v>
      </c>
      <c r="O159" s="70">
        <f>M159/I159*100</f>
        <v>100</v>
      </c>
      <c r="P159" s="71">
        <f t="shared" si="81"/>
        <v>0</v>
      </c>
      <c r="Q159" s="35">
        <f t="shared" si="82"/>
        <v>0</v>
      </c>
      <c r="R159" s="72">
        <v>1103719</v>
      </c>
      <c r="S159" s="72">
        <f t="shared" si="83"/>
        <v>1284</v>
      </c>
    </row>
    <row r="160" spans="1:20">
      <c r="A160" s="8"/>
      <c r="B160" s="9"/>
      <c r="C160" s="9"/>
      <c r="D160" s="69"/>
      <c r="E160" s="69">
        <v>121</v>
      </c>
      <c r="F160" s="136" t="s">
        <v>90</v>
      </c>
      <c r="G160" s="26">
        <v>11697</v>
      </c>
      <c r="H160" s="26">
        <v>4860</v>
      </c>
      <c r="I160" s="26">
        <v>4860</v>
      </c>
      <c r="J160" s="105">
        <f t="shared" si="89"/>
        <v>4860</v>
      </c>
      <c r="K160" s="35">
        <f>'1.05.'!M159</f>
        <v>3890</v>
      </c>
      <c r="L160" s="27">
        <v>970</v>
      </c>
      <c r="M160" s="92">
        <f t="shared" si="73"/>
        <v>4860</v>
      </c>
      <c r="N160" s="93">
        <f t="shared" si="74"/>
        <v>0</v>
      </c>
      <c r="O160" s="70">
        <f t="shared" ref="O160:O230" si="90">M160/I160*100</f>
        <v>100</v>
      </c>
      <c r="P160" s="71">
        <f t="shared" si="81"/>
        <v>0</v>
      </c>
      <c r="Q160" s="35">
        <f t="shared" si="82"/>
        <v>0</v>
      </c>
      <c r="R160" s="72">
        <v>1103720</v>
      </c>
      <c r="S160" s="72">
        <f t="shared" si="83"/>
        <v>6837</v>
      </c>
      <c r="T160" s="62">
        <f t="shared" si="86"/>
        <v>6837</v>
      </c>
    </row>
    <row r="161" spans="1:20" ht="25.5">
      <c r="A161" s="8"/>
      <c r="B161" s="9"/>
      <c r="C161" s="9"/>
      <c r="D161" s="69"/>
      <c r="E161" s="69">
        <v>122</v>
      </c>
      <c r="F161" s="136" t="s">
        <v>91</v>
      </c>
      <c r="G161" s="26">
        <v>9747</v>
      </c>
      <c r="H161" s="26">
        <v>3365</v>
      </c>
      <c r="I161" s="26">
        <v>3365</v>
      </c>
      <c r="J161" s="105">
        <f t="shared" si="89"/>
        <v>3365</v>
      </c>
      <c r="K161" s="35">
        <f>'1.05.'!M160</f>
        <v>2750</v>
      </c>
      <c r="L161" s="27">
        <v>615</v>
      </c>
      <c r="M161" s="92">
        <f t="shared" si="73"/>
        <v>3365</v>
      </c>
      <c r="N161" s="93">
        <f t="shared" si="74"/>
        <v>0</v>
      </c>
      <c r="O161" s="70">
        <f t="shared" si="90"/>
        <v>100</v>
      </c>
      <c r="P161" s="71">
        <f t="shared" si="81"/>
        <v>0</v>
      </c>
      <c r="Q161" s="35">
        <f t="shared" si="82"/>
        <v>0</v>
      </c>
      <c r="R161" s="72">
        <v>1103721</v>
      </c>
      <c r="S161" s="72">
        <f t="shared" si="83"/>
        <v>6382</v>
      </c>
      <c r="T161" s="62">
        <f t="shared" si="86"/>
        <v>6382</v>
      </c>
    </row>
    <row r="162" spans="1:20">
      <c r="A162" s="8"/>
      <c r="B162" s="9"/>
      <c r="C162" s="9"/>
      <c r="D162" s="69"/>
      <c r="E162" s="69">
        <v>123</v>
      </c>
      <c r="F162" s="136" t="s">
        <v>92</v>
      </c>
      <c r="G162" s="26">
        <v>235</v>
      </c>
      <c r="H162" s="26">
        <v>91.6</v>
      </c>
      <c r="I162" s="26">
        <v>91.6</v>
      </c>
      <c r="J162" s="105">
        <f t="shared" si="89"/>
        <v>91.524770000000004</v>
      </c>
      <c r="K162" s="35">
        <f>'1.05.'!M161</f>
        <v>91.524770000000004</v>
      </c>
      <c r="L162" s="27"/>
      <c r="M162" s="92">
        <f t="shared" si="73"/>
        <v>91.524770000000004</v>
      </c>
      <c r="N162" s="93">
        <f t="shared" si="74"/>
        <v>7.5229999999990582E-2</v>
      </c>
      <c r="O162" s="70">
        <f t="shared" si="90"/>
        <v>99.917871179039309</v>
      </c>
      <c r="P162" s="71">
        <f t="shared" si="81"/>
        <v>0</v>
      </c>
      <c r="Q162" s="35">
        <f t="shared" si="82"/>
        <v>7.5229999999990582E-2</v>
      </c>
      <c r="R162" s="72">
        <v>1103722</v>
      </c>
      <c r="S162" s="72">
        <f t="shared" si="83"/>
        <v>143.47523000000001</v>
      </c>
      <c r="T162" s="62">
        <f t="shared" si="86"/>
        <v>143.47523000000001</v>
      </c>
    </row>
    <row r="163" spans="1:20">
      <c r="A163" s="9"/>
      <c r="B163" s="9"/>
      <c r="C163" s="9"/>
      <c r="D163" s="69"/>
      <c r="E163" s="69">
        <v>124</v>
      </c>
      <c r="F163" s="136" t="s">
        <v>93</v>
      </c>
      <c r="G163" s="26">
        <v>6378</v>
      </c>
      <c r="H163" s="26">
        <v>2030</v>
      </c>
      <c r="I163" s="26">
        <v>2030</v>
      </c>
      <c r="J163" s="105">
        <f t="shared" si="89"/>
        <v>2030</v>
      </c>
      <c r="K163" s="35">
        <f>'1.05.'!M162</f>
        <v>1640</v>
      </c>
      <c r="L163" s="27">
        <v>390</v>
      </c>
      <c r="M163" s="92">
        <f t="shared" si="73"/>
        <v>2030</v>
      </c>
      <c r="N163" s="93">
        <f t="shared" si="74"/>
        <v>0</v>
      </c>
      <c r="O163" s="70">
        <f t="shared" si="90"/>
        <v>100</v>
      </c>
      <c r="P163" s="71">
        <f t="shared" si="81"/>
        <v>0</v>
      </c>
      <c r="Q163" s="35">
        <f t="shared" si="82"/>
        <v>0</v>
      </c>
      <c r="R163" s="72">
        <v>1103723</v>
      </c>
      <c r="S163" s="72">
        <f t="shared" si="83"/>
        <v>4348</v>
      </c>
      <c r="T163" s="62">
        <f t="shared" si="86"/>
        <v>4348</v>
      </c>
    </row>
    <row r="164" spans="1:20" s="73" customFormat="1">
      <c r="A164" s="9"/>
      <c r="B164" s="9"/>
      <c r="C164" s="9"/>
      <c r="D164" s="69"/>
      <c r="E164" s="69">
        <v>141</v>
      </c>
      <c r="F164" s="136" t="s">
        <v>116</v>
      </c>
      <c r="G164" s="26">
        <v>20147</v>
      </c>
      <c r="H164" s="26">
        <v>18580</v>
      </c>
      <c r="I164" s="26">
        <v>6700</v>
      </c>
      <c r="J164" s="105">
        <v>18579.949199999999</v>
      </c>
      <c r="K164" s="35">
        <f>'1.05.'!M163</f>
        <v>5400</v>
      </c>
      <c r="L164" s="27">
        <v>1300</v>
      </c>
      <c r="M164" s="92">
        <f t="shared" si="73"/>
        <v>6700</v>
      </c>
      <c r="N164" s="93">
        <f t="shared" si="74"/>
        <v>0</v>
      </c>
      <c r="O164" s="70">
        <f t="shared" si="90"/>
        <v>100</v>
      </c>
      <c r="P164" s="71">
        <f t="shared" si="81"/>
        <v>11879.949199999999</v>
      </c>
      <c r="Q164" s="35">
        <f t="shared" si="82"/>
        <v>5.0800000000890577E-2</v>
      </c>
      <c r="R164" s="72">
        <v>1103724</v>
      </c>
      <c r="S164" s="72">
        <f t="shared" si="83"/>
        <v>13447</v>
      </c>
      <c r="T164" s="62">
        <f t="shared" si="86"/>
        <v>1567.0508000000009</v>
      </c>
    </row>
    <row r="165" spans="1:20" ht="25.5">
      <c r="A165" s="9"/>
      <c r="B165" s="9"/>
      <c r="C165" s="9"/>
      <c r="D165" s="69"/>
      <c r="E165" s="69">
        <v>142</v>
      </c>
      <c r="F165" s="136" t="s">
        <v>122</v>
      </c>
      <c r="G165" s="26">
        <v>2651</v>
      </c>
      <c r="H165" s="26">
        <v>1000</v>
      </c>
      <c r="I165" s="26">
        <v>1000</v>
      </c>
      <c r="J165" s="105">
        <f t="shared" si="89"/>
        <v>1000</v>
      </c>
      <c r="K165" s="35">
        <f>'1.05.'!M164</f>
        <v>0</v>
      </c>
      <c r="L165" s="27">
        <v>1000</v>
      </c>
      <c r="M165" s="92">
        <f t="shared" si="73"/>
        <v>1000</v>
      </c>
      <c r="N165" s="93">
        <f t="shared" si="74"/>
        <v>0</v>
      </c>
      <c r="O165" s="70">
        <f t="shared" si="90"/>
        <v>100</v>
      </c>
      <c r="P165" s="71">
        <f t="shared" si="81"/>
        <v>0</v>
      </c>
      <c r="Q165" s="35">
        <f t="shared" si="82"/>
        <v>0</v>
      </c>
      <c r="R165" s="72">
        <v>1103725</v>
      </c>
      <c r="S165" s="72">
        <f t="shared" si="83"/>
        <v>1651</v>
      </c>
      <c r="T165" s="62">
        <f t="shared" si="86"/>
        <v>1651</v>
      </c>
    </row>
    <row r="166" spans="1:20">
      <c r="A166" s="9"/>
      <c r="B166" s="9"/>
      <c r="C166" s="9"/>
      <c r="D166" s="69"/>
      <c r="E166" s="69">
        <v>144</v>
      </c>
      <c r="F166" s="136" t="s">
        <v>97</v>
      </c>
      <c r="G166" s="26">
        <v>1400</v>
      </c>
      <c r="H166" s="26">
        <v>1400</v>
      </c>
      <c r="I166" s="26">
        <v>1400</v>
      </c>
      <c r="J166" s="105">
        <v>1399.8342700000001</v>
      </c>
      <c r="K166" s="35">
        <f>'1.05.'!M165</f>
        <v>1399.8342700000001</v>
      </c>
      <c r="L166" s="27"/>
      <c r="M166" s="92">
        <f t="shared" si="73"/>
        <v>1399.8342700000001</v>
      </c>
      <c r="N166" s="93">
        <f t="shared" si="74"/>
        <v>0.16572999999993954</v>
      </c>
      <c r="O166" s="70">
        <f t="shared" si="90"/>
        <v>99.988162142857149</v>
      </c>
      <c r="P166" s="71">
        <f t="shared" si="81"/>
        <v>0</v>
      </c>
      <c r="Q166" s="35">
        <f t="shared" si="82"/>
        <v>0.16572999999993954</v>
      </c>
      <c r="R166" s="72">
        <v>1103726</v>
      </c>
      <c r="S166" s="72">
        <f t="shared" si="83"/>
        <v>0.16572999999993954</v>
      </c>
      <c r="T166" s="62">
        <f t="shared" si="86"/>
        <v>0.16572999999993954</v>
      </c>
    </row>
    <row r="167" spans="1:20">
      <c r="A167" s="9"/>
      <c r="B167" s="9"/>
      <c r="C167" s="9"/>
      <c r="D167" s="69"/>
      <c r="E167" s="69">
        <v>149</v>
      </c>
      <c r="F167" s="136" t="s">
        <v>98</v>
      </c>
      <c r="G167" s="26">
        <v>9495</v>
      </c>
      <c r="H167" s="26">
        <v>3857.4</v>
      </c>
      <c r="I167" s="26">
        <v>3857.4</v>
      </c>
      <c r="J167" s="105">
        <f t="shared" si="89"/>
        <v>3857.4</v>
      </c>
      <c r="K167" s="35">
        <f>'1.05.'!M166</f>
        <v>773.4</v>
      </c>
      <c r="L167" s="27">
        <v>3084</v>
      </c>
      <c r="M167" s="92">
        <f t="shared" si="73"/>
        <v>3857.4</v>
      </c>
      <c r="N167" s="93">
        <f t="shared" si="74"/>
        <v>0</v>
      </c>
      <c r="O167" s="70">
        <f t="shared" si="90"/>
        <v>100</v>
      </c>
      <c r="P167" s="71">
        <f t="shared" si="81"/>
        <v>0</v>
      </c>
      <c r="Q167" s="35">
        <f t="shared" si="82"/>
        <v>0</v>
      </c>
      <c r="R167" s="72">
        <v>1103727</v>
      </c>
      <c r="S167" s="72">
        <f t="shared" si="83"/>
        <v>5637.6</v>
      </c>
      <c r="T167" s="62">
        <f t="shared" si="86"/>
        <v>5637.6</v>
      </c>
    </row>
    <row r="168" spans="1:20">
      <c r="A168" s="9"/>
      <c r="B168" s="9"/>
      <c r="C168" s="9"/>
      <c r="D168" s="69"/>
      <c r="E168" s="69">
        <v>151</v>
      </c>
      <c r="F168" s="136" t="s">
        <v>99</v>
      </c>
      <c r="G168" s="26">
        <v>17588</v>
      </c>
      <c r="H168" s="26">
        <v>7400</v>
      </c>
      <c r="I168" s="26">
        <v>7400</v>
      </c>
      <c r="J168" s="105">
        <f t="shared" si="89"/>
        <v>7400</v>
      </c>
      <c r="K168" s="35">
        <f>'1.05.'!M167</f>
        <v>5900</v>
      </c>
      <c r="L168" s="27">
        <v>1500</v>
      </c>
      <c r="M168" s="92">
        <f t="shared" si="73"/>
        <v>7400</v>
      </c>
      <c r="N168" s="93">
        <f t="shared" si="74"/>
        <v>0</v>
      </c>
      <c r="O168" s="70">
        <f t="shared" si="90"/>
        <v>100</v>
      </c>
      <c r="P168" s="71">
        <f t="shared" si="81"/>
        <v>0</v>
      </c>
      <c r="Q168" s="35">
        <f t="shared" si="82"/>
        <v>0</v>
      </c>
      <c r="R168" s="72">
        <v>1103728</v>
      </c>
      <c r="S168" s="72">
        <f t="shared" si="83"/>
        <v>10188</v>
      </c>
      <c r="T168" s="62">
        <f t="shared" si="86"/>
        <v>10188</v>
      </c>
    </row>
    <row r="169" spans="1:20">
      <c r="A169" s="9"/>
      <c r="B169" s="9"/>
      <c r="C169" s="9"/>
      <c r="D169" s="69"/>
      <c r="E169" s="69">
        <v>152</v>
      </c>
      <c r="F169" s="136" t="s">
        <v>100</v>
      </c>
      <c r="G169" s="26">
        <v>1401</v>
      </c>
      <c r="H169" s="26">
        <v>1401</v>
      </c>
      <c r="I169" s="26">
        <v>342.1</v>
      </c>
      <c r="J169" s="105">
        <v>956.68</v>
      </c>
      <c r="K169" s="35">
        <f>'1.05.'!M168</f>
        <v>261.69587000000001</v>
      </c>
      <c r="L169" s="27">
        <v>60.792340000000003</v>
      </c>
      <c r="M169" s="92">
        <f t="shared" si="73"/>
        <v>322.48821000000004</v>
      </c>
      <c r="N169" s="93">
        <f t="shared" si="74"/>
        <v>19.611789999999985</v>
      </c>
      <c r="O169" s="70">
        <f t="shared" si="90"/>
        <v>94.267234726688116</v>
      </c>
      <c r="P169" s="71">
        <f t="shared" si="81"/>
        <v>634.19178999999986</v>
      </c>
      <c r="Q169" s="35">
        <f t="shared" si="82"/>
        <v>444.32000000000005</v>
      </c>
      <c r="R169" s="72">
        <v>1103729</v>
      </c>
      <c r="S169" s="72">
        <f t="shared" si="83"/>
        <v>1078.51179</v>
      </c>
      <c r="T169" s="62">
        <f t="shared" si="86"/>
        <v>444.32000000000005</v>
      </c>
    </row>
    <row r="170" spans="1:20" ht="25.5">
      <c r="A170" s="9"/>
      <c r="B170" s="9"/>
      <c r="C170" s="9"/>
      <c r="D170" s="69"/>
      <c r="E170" s="69">
        <v>158</v>
      </c>
      <c r="F170" s="136" t="s">
        <v>101</v>
      </c>
      <c r="G170" s="26">
        <f>730+1099.4</f>
        <v>1829.4</v>
      </c>
      <c r="H170" s="26">
        <v>1829.4</v>
      </c>
      <c r="I170" s="26">
        <v>711.9</v>
      </c>
      <c r="J170" s="105">
        <v>1429.1756</v>
      </c>
      <c r="K170" s="35">
        <f>'1.05.'!M169</f>
        <v>564.9</v>
      </c>
      <c r="L170" s="27">
        <v>65.022000000000006</v>
      </c>
      <c r="M170" s="92">
        <f t="shared" si="73"/>
        <v>629.92200000000003</v>
      </c>
      <c r="N170" s="93">
        <f t="shared" si="74"/>
        <v>81.977999999999952</v>
      </c>
      <c r="O170" s="70">
        <f t="shared" si="90"/>
        <v>88.484618626211557</v>
      </c>
      <c r="P170" s="71">
        <f t="shared" si="81"/>
        <v>799.25360000000001</v>
      </c>
      <c r="Q170" s="35">
        <f t="shared" si="82"/>
        <v>400.22440000000006</v>
      </c>
      <c r="R170" s="72">
        <v>1103730</v>
      </c>
      <c r="S170" s="72">
        <f t="shared" si="83"/>
        <v>1199.4780000000001</v>
      </c>
      <c r="T170" s="62">
        <f t="shared" si="86"/>
        <v>400.22440000000006</v>
      </c>
    </row>
    <row r="171" spans="1:20">
      <c r="A171" s="9"/>
      <c r="B171" s="9"/>
      <c r="C171" s="9"/>
      <c r="D171" s="69"/>
      <c r="E171" s="69">
        <v>159</v>
      </c>
      <c r="F171" s="136" t="s">
        <v>84</v>
      </c>
      <c r="G171" s="26">
        <f>6564-1099.4</f>
        <v>5464.6</v>
      </c>
      <c r="H171" s="26">
        <v>3533.6</v>
      </c>
      <c r="I171" s="26">
        <v>836.9</v>
      </c>
      <c r="J171" s="105">
        <v>3528.8258599999999</v>
      </c>
      <c r="K171" s="35">
        <f>'1.05.'!M170</f>
        <v>600</v>
      </c>
      <c r="L171" s="27">
        <v>236.9</v>
      </c>
      <c r="M171" s="92">
        <f t="shared" si="73"/>
        <v>836.9</v>
      </c>
      <c r="N171" s="93">
        <f t="shared" si="74"/>
        <v>0</v>
      </c>
      <c r="O171" s="70">
        <f t="shared" si="90"/>
        <v>100</v>
      </c>
      <c r="P171" s="71">
        <f t="shared" si="81"/>
        <v>2691.9258599999998</v>
      </c>
      <c r="Q171" s="35">
        <f t="shared" si="82"/>
        <v>4.7741399999999885</v>
      </c>
      <c r="R171" s="72">
        <v>1103731</v>
      </c>
      <c r="S171" s="72">
        <f t="shared" si="83"/>
        <v>4627.7000000000007</v>
      </c>
      <c r="T171" s="62">
        <f t="shared" si="86"/>
        <v>1935.7741400000004</v>
      </c>
    </row>
    <row r="172" spans="1:20">
      <c r="A172" s="9"/>
      <c r="B172" s="9"/>
      <c r="C172" s="9"/>
      <c r="D172" s="69"/>
      <c r="E172" s="69">
        <v>161</v>
      </c>
      <c r="F172" s="136" t="s">
        <v>102</v>
      </c>
      <c r="G172" s="26">
        <v>816</v>
      </c>
      <c r="H172" s="26">
        <v>412.2</v>
      </c>
      <c r="I172" s="26">
        <v>412.2</v>
      </c>
      <c r="J172" s="105">
        <f t="shared" ref="J172:J174" si="91">M172</f>
        <v>412.15800000000002</v>
      </c>
      <c r="K172" s="35">
        <f>'1.05.'!M171</f>
        <v>326.20800000000003</v>
      </c>
      <c r="L172" s="27">
        <v>85.95</v>
      </c>
      <c r="M172" s="92">
        <f t="shared" si="73"/>
        <v>412.15800000000002</v>
      </c>
      <c r="N172" s="93">
        <f t="shared" si="74"/>
        <v>4.199999999997317E-2</v>
      </c>
      <c r="O172" s="70">
        <f t="shared" si="90"/>
        <v>99.989810771470161</v>
      </c>
      <c r="P172" s="71">
        <f t="shared" si="81"/>
        <v>0</v>
      </c>
      <c r="Q172" s="35">
        <f t="shared" si="82"/>
        <v>4.199999999997317E-2</v>
      </c>
      <c r="R172" s="72">
        <v>1103732</v>
      </c>
      <c r="S172" s="72">
        <f t="shared" si="83"/>
        <v>403.84199999999998</v>
      </c>
      <c r="T172" s="62">
        <f t="shared" si="86"/>
        <v>403.84199999999998</v>
      </c>
    </row>
    <row r="173" spans="1:20">
      <c r="A173" s="9"/>
      <c r="B173" s="9"/>
      <c r="C173" s="9"/>
      <c r="D173" s="69"/>
      <c r="E173" s="69">
        <v>168</v>
      </c>
      <c r="F173" s="136" t="s">
        <v>167</v>
      </c>
      <c r="G173" s="26">
        <v>20</v>
      </c>
      <c r="H173" s="26">
        <v>10</v>
      </c>
      <c r="I173" s="26">
        <v>10</v>
      </c>
      <c r="J173" s="105">
        <f t="shared" si="91"/>
        <v>10</v>
      </c>
      <c r="K173" s="35">
        <f>'1.05.'!M172</f>
        <v>10</v>
      </c>
      <c r="L173" s="27"/>
      <c r="M173" s="92">
        <f t="shared" si="73"/>
        <v>10</v>
      </c>
      <c r="N173" s="93">
        <f t="shared" si="74"/>
        <v>0</v>
      </c>
      <c r="O173" s="70">
        <f t="shared" si="90"/>
        <v>100</v>
      </c>
      <c r="P173" s="71">
        <f t="shared" si="81"/>
        <v>0</v>
      </c>
      <c r="Q173" s="35">
        <f t="shared" si="82"/>
        <v>0</v>
      </c>
      <c r="R173" s="72">
        <v>1103733</v>
      </c>
      <c r="S173" s="72">
        <f t="shared" si="83"/>
        <v>10</v>
      </c>
    </row>
    <row r="174" spans="1:20">
      <c r="A174" s="9"/>
      <c r="B174" s="9"/>
      <c r="C174" s="9"/>
      <c r="D174" s="69"/>
      <c r="E174" s="69">
        <v>169</v>
      </c>
      <c r="F174" s="136" t="s">
        <v>103</v>
      </c>
      <c r="G174" s="26">
        <f>20-20</f>
        <v>0</v>
      </c>
      <c r="H174" s="26"/>
      <c r="I174" s="26"/>
      <c r="J174" s="105">
        <f t="shared" si="91"/>
        <v>0</v>
      </c>
      <c r="K174" s="35">
        <f>'1.05.'!M173</f>
        <v>0</v>
      </c>
      <c r="L174" s="27"/>
      <c r="M174" s="92">
        <f>K174+L174</f>
        <v>0</v>
      </c>
      <c r="N174" s="93">
        <f t="shared" si="74"/>
        <v>0</v>
      </c>
      <c r="O174" s="70" t="e">
        <f t="shared" si="90"/>
        <v>#DIV/0!</v>
      </c>
      <c r="P174" s="71">
        <f t="shared" si="81"/>
        <v>0</v>
      </c>
      <c r="Q174" s="35">
        <f t="shared" si="82"/>
        <v>0</v>
      </c>
      <c r="R174" s="72">
        <v>1103733</v>
      </c>
      <c r="S174" s="72">
        <f t="shared" si="83"/>
        <v>0</v>
      </c>
      <c r="T174" s="62">
        <f t="shared" si="86"/>
        <v>0</v>
      </c>
    </row>
    <row r="175" spans="1:20" ht="25.5" hidden="1">
      <c r="A175" s="100"/>
      <c r="B175" s="15"/>
      <c r="C175" s="57" t="s">
        <v>43</v>
      </c>
      <c r="D175" s="16"/>
      <c r="E175" s="20"/>
      <c r="F175" s="3" t="s">
        <v>44</v>
      </c>
      <c r="G175" s="59">
        <f t="shared" ref="G175:N175" si="92">G176</f>
        <v>0</v>
      </c>
      <c r="H175" s="59">
        <f t="shared" si="92"/>
        <v>0</v>
      </c>
      <c r="I175" s="59">
        <f t="shared" si="92"/>
        <v>0</v>
      </c>
      <c r="J175" s="29">
        <f t="shared" si="92"/>
        <v>0</v>
      </c>
      <c r="K175" s="35">
        <f>'1.02.'!M163</f>
        <v>0</v>
      </c>
      <c r="L175" s="59">
        <f t="shared" si="92"/>
        <v>0</v>
      </c>
      <c r="M175" s="29">
        <f t="shared" si="92"/>
        <v>0</v>
      </c>
      <c r="N175" s="29">
        <f t="shared" si="92"/>
        <v>0</v>
      </c>
      <c r="O175" s="70"/>
      <c r="P175" s="71">
        <f t="shared" si="81"/>
        <v>0</v>
      </c>
      <c r="Q175" s="35">
        <f t="shared" si="82"/>
        <v>0</v>
      </c>
      <c r="R175" s="72">
        <v>1103734</v>
      </c>
      <c r="S175" s="72">
        <f t="shared" si="83"/>
        <v>0</v>
      </c>
    </row>
    <row r="176" spans="1:20" hidden="1">
      <c r="A176" s="9"/>
      <c r="B176" s="12"/>
      <c r="C176" s="12"/>
      <c r="D176" s="11" t="s">
        <v>7</v>
      </c>
      <c r="E176" s="97"/>
      <c r="F176" s="4" t="s">
        <v>22</v>
      </c>
      <c r="G176" s="98">
        <f>G177+G178+G179</f>
        <v>0</v>
      </c>
      <c r="H176" s="98">
        <f t="shared" ref="H176:M176" si="93">H177+H178+H179</f>
        <v>0</v>
      </c>
      <c r="I176" s="98">
        <f t="shared" si="93"/>
        <v>0</v>
      </c>
      <c r="J176" s="32">
        <f t="shared" si="93"/>
        <v>0</v>
      </c>
      <c r="K176" s="35">
        <f>'1.02.'!M164</f>
        <v>0</v>
      </c>
      <c r="L176" s="98">
        <f t="shared" si="93"/>
        <v>0</v>
      </c>
      <c r="M176" s="98">
        <f t="shared" si="93"/>
        <v>0</v>
      </c>
      <c r="N176" s="99">
        <f>N177+N178+N179</f>
        <v>0</v>
      </c>
      <c r="O176" s="68" t="e">
        <f>M176/I176*100</f>
        <v>#DIV/0!</v>
      </c>
      <c r="P176" s="71">
        <f t="shared" si="81"/>
        <v>0</v>
      </c>
      <c r="Q176" s="35">
        <f t="shared" si="82"/>
        <v>0</v>
      </c>
      <c r="R176" s="72">
        <v>1103735</v>
      </c>
      <c r="S176" s="72">
        <f t="shared" si="83"/>
        <v>0</v>
      </c>
      <c r="T176" s="62">
        <f>G176-J176</f>
        <v>0</v>
      </c>
    </row>
    <row r="177" spans="1:20" hidden="1">
      <c r="A177" s="9"/>
      <c r="B177" s="13"/>
      <c r="C177" s="13"/>
      <c r="D177" s="14"/>
      <c r="E177" s="20">
        <v>413</v>
      </c>
      <c r="F177" s="106" t="s">
        <v>56</v>
      </c>
      <c r="G177" s="34"/>
      <c r="H177" s="34"/>
      <c r="I177" s="34"/>
      <c r="J177" s="107">
        <f>M177</f>
        <v>0</v>
      </c>
      <c r="K177" s="35">
        <f>'1.02.'!M165</f>
        <v>0</v>
      </c>
      <c r="L177" s="34"/>
      <c r="M177" s="92">
        <f t="shared" ref="M177:M179" si="94">K177+L177</f>
        <v>0</v>
      </c>
      <c r="N177" s="93">
        <f t="shared" ref="N177:N179" si="95">I177-M177</f>
        <v>0</v>
      </c>
      <c r="O177" s="70"/>
      <c r="P177" s="71">
        <f t="shared" si="81"/>
        <v>0</v>
      </c>
      <c r="Q177" s="35">
        <f t="shared" si="82"/>
        <v>0</v>
      </c>
      <c r="R177" s="72">
        <v>1103736</v>
      </c>
      <c r="S177" s="72">
        <f t="shared" si="83"/>
        <v>0</v>
      </c>
    </row>
    <row r="178" spans="1:20" ht="25.5" hidden="1">
      <c r="A178" s="9"/>
      <c r="B178" s="13"/>
      <c r="C178" s="13"/>
      <c r="D178" s="14"/>
      <c r="E178" s="20">
        <v>414</v>
      </c>
      <c r="F178" s="86" t="s">
        <v>64</v>
      </c>
      <c r="G178" s="37"/>
      <c r="H178" s="37"/>
      <c r="I178" s="37"/>
      <c r="J178" s="107">
        <f t="shared" ref="J178:J179" si="96">M178</f>
        <v>0</v>
      </c>
      <c r="K178" s="35">
        <f>'1.02.'!M166</f>
        <v>0</v>
      </c>
      <c r="L178" s="37"/>
      <c r="M178" s="92">
        <f t="shared" si="94"/>
        <v>0</v>
      </c>
      <c r="N178" s="93">
        <f t="shared" si="95"/>
        <v>0</v>
      </c>
      <c r="O178" s="70"/>
      <c r="P178" s="71">
        <f t="shared" si="81"/>
        <v>0</v>
      </c>
      <c r="Q178" s="35">
        <f t="shared" si="82"/>
        <v>0</v>
      </c>
      <c r="R178" s="72">
        <v>1103737</v>
      </c>
      <c r="S178" s="72">
        <f t="shared" si="83"/>
        <v>0</v>
      </c>
    </row>
    <row r="179" spans="1:20" ht="25.5" hidden="1">
      <c r="A179" s="100"/>
      <c r="B179" s="15"/>
      <c r="C179" s="15"/>
      <c r="D179" s="16"/>
      <c r="E179" s="20">
        <v>421</v>
      </c>
      <c r="F179" s="3" t="s">
        <v>60</v>
      </c>
      <c r="G179" s="37"/>
      <c r="H179" s="37"/>
      <c r="I179" s="37"/>
      <c r="J179" s="107">
        <f t="shared" si="96"/>
        <v>0</v>
      </c>
      <c r="K179" s="35">
        <f>'1.02.'!M167</f>
        <v>0</v>
      </c>
      <c r="L179" s="35"/>
      <c r="M179" s="92">
        <f t="shared" si="94"/>
        <v>0</v>
      </c>
      <c r="N179" s="93">
        <f t="shared" si="95"/>
        <v>0</v>
      </c>
      <c r="O179" s="70" t="e">
        <f t="shared" ref="O179" si="97">M179/I179*100</f>
        <v>#DIV/0!</v>
      </c>
      <c r="P179" s="71">
        <f t="shared" si="81"/>
        <v>0</v>
      </c>
      <c r="Q179" s="35">
        <f t="shared" si="82"/>
        <v>0</v>
      </c>
      <c r="R179" s="72">
        <v>1103738</v>
      </c>
      <c r="S179" s="72">
        <f t="shared" si="83"/>
        <v>0</v>
      </c>
    </row>
    <row r="180" spans="1:20" s="95" customFormat="1" ht="13.5">
      <c r="A180" s="8"/>
      <c r="B180" s="57">
        <v>1265</v>
      </c>
      <c r="C180" s="12"/>
      <c r="D180" s="11"/>
      <c r="E180" s="18"/>
      <c r="F180" s="139" t="s">
        <v>123</v>
      </c>
      <c r="G180" s="42">
        <f>G181+G202</f>
        <v>1298876</v>
      </c>
      <c r="H180" s="42">
        <f t="shared" ref="H180:N180" si="98">H181+H202</f>
        <v>833132</v>
      </c>
      <c r="I180" s="42">
        <f t="shared" si="98"/>
        <v>607303</v>
      </c>
      <c r="J180" s="29">
        <f t="shared" si="98"/>
        <v>827695.58130999992</v>
      </c>
      <c r="K180" s="29">
        <f t="shared" si="98"/>
        <v>48654.000999999997</v>
      </c>
      <c r="L180" s="29">
        <f t="shared" si="98"/>
        <v>78794.964319999999</v>
      </c>
      <c r="M180" s="29">
        <f t="shared" si="98"/>
        <v>535963.91449</v>
      </c>
      <c r="N180" s="29">
        <f t="shared" si="98"/>
        <v>71339.08550999999</v>
      </c>
      <c r="O180" s="68">
        <f t="shared" si="90"/>
        <v>88.253131384169023</v>
      </c>
      <c r="P180" s="71">
        <f t="shared" si="81"/>
        <v>291731.66681999993</v>
      </c>
      <c r="Q180" s="35">
        <f t="shared" si="82"/>
        <v>5436.4186900000786</v>
      </c>
      <c r="R180" s="72">
        <v>1103739</v>
      </c>
      <c r="S180" s="72">
        <f t="shared" si="83"/>
        <v>762912.08551</v>
      </c>
      <c r="T180" s="62">
        <f t="shared" si="86"/>
        <v>471180.41869000008</v>
      </c>
    </row>
    <row r="181" spans="1:20" ht="76.5">
      <c r="A181" s="8"/>
      <c r="B181" s="12"/>
      <c r="C181" s="12" t="s">
        <v>23</v>
      </c>
      <c r="D181" s="11"/>
      <c r="E181" s="18"/>
      <c r="F181" s="139" t="s">
        <v>124</v>
      </c>
      <c r="G181" s="42">
        <f>G182</f>
        <v>947947</v>
      </c>
      <c r="H181" s="42">
        <f t="shared" ref="H181:N181" si="99">H182</f>
        <v>482203</v>
      </c>
      <c r="I181" s="42">
        <f t="shared" si="99"/>
        <v>325606</v>
      </c>
      <c r="J181" s="60">
        <f t="shared" si="99"/>
        <v>476766.58130999992</v>
      </c>
      <c r="K181" s="29">
        <f>'1.02.'!M169</f>
        <v>48654.000999999997</v>
      </c>
      <c r="L181" s="29">
        <f t="shared" si="99"/>
        <v>73169.984840000005</v>
      </c>
      <c r="M181" s="33">
        <f t="shared" si="99"/>
        <v>325581.14400999999</v>
      </c>
      <c r="N181" s="29">
        <f t="shared" si="99"/>
        <v>24.855989999998528</v>
      </c>
      <c r="O181" s="66">
        <f t="shared" si="90"/>
        <v>99.992366237108655</v>
      </c>
      <c r="P181" s="71">
        <f t="shared" si="81"/>
        <v>151185.43729999993</v>
      </c>
      <c r="Q181" s="35">
        <f t="shared" si="82"/>
        <v>5436.4186900000786</v>
      </c>
      <c r="R181" s="72">
        <v>1103740</v>
      </c>
      <c r="S181" s="72">
        <f t="shared" si="83"/>
        <v>622365.85599000007</v>
      </c>
      <c r="T181" s="62">
        <f t="shared" si="86"/>
        <v>471180.41869000008</v>
      </c>
    </row>
    <row r="182" spans="1:20">
      <c r="A182" s="9"/>
      <c r="B182" s="12"/>
      <c r="C182" s="12"/>
      <c r="D182" s="11" t="s">
        <v>7</v>
      </c>
      <c r="E182" s="97"/>
      <c r="F182" s="140" t="s">
        <v>85</v>
      </c>
      <c r="G182" s="98">
        <f t="shared" ref="G182:I182" si="100">SUM(G183:G201)</f>
        <v>947947</v>
      </c>
      <c r="H182" s="98">
        <f t="shared" si="100"/>
        <v>482203</v>
      </c>
      <c r="I182" s="98">
        <f t="shared" si="100"/>
        <v>325606</v>
      </c>
      <c r="J182" s="32">
        <f>SUM(J183:J201)</f>
        <v>476766.58130999992</v>
      </c>
      <c r="K182" s="32">
        <f>SUM(K183:K201)</f>
        <v>252411.15916999997</v>
      </c>
      <c r="L182" s="32">
        <f t="shared" ref="L182:N182" si="101">SUM(L183:L201)</f>
        <v>73169.984840000005</v>
      </c>
      <c r="M182" s="32">
        <f t="shared" si="101"/>
        <v>325581.14400999999</v>
      </c>
      <c r="N182" s="32">
        <f t="shared" si="101"/>
        <v>24.855989999998528</v>
      </c>
      <c r="O182" s="68">
        <f t="shared" si="90"/>
        <v>99.992366237108655</v>
      </c>
      <c r="P182" s="71">
        <f t="shared" si="81"/>
        <v>151185.43729999993</v>
      </c>
      <c r="Q182" s="35">
        <f t="shared" si="82"/>
        <v>5436.4186900000786</v>
      </c>
      <c r="R182" s="72">
        <v>1103741</v>
      </c>
      <c r="S182" s="72">
        <f t="shared" si="83"/>
        <v>622365.85599000007</v>
      </c>
      <c r="T182" s="62">
        <f t="shared" si="86"/>
        <v>471180.41869000008</v>
      </c>
    </row>
    <row r="183" spans="1:20">
      <c r="A183" s="9"/>
      <c r="B183" s="13"/>
      <c r="C183" s="13"/>
      <c r="D183" s="14"/>
      <c r="E183" s="20">
        <v>111</v>
      </c>
      <c r="F183" s="136" t="s">
        <v>86</v>
      </c>
      <c r="G183" s="37">
        <f>618499-385</f>
        <v>618114</v>
      </c>
      <c r="H183" s="37">
        <v>238615</v>
      </c>
      <c r="I183" s="37">
        <v>238615</v>
      </c>
      <c r="J183" s="75">
        <f>M183</f>
        <v>238615</v>
      </c>
      <c r="K183" s="35">
        <f>'1.05.'!M182</f>
        <v>191000</v>
      </c>
      <c r="L183" s="35">
        <v>47615</v>
      </c>
      <c r="M183" s="92">
        <f>K183+L183</f>
        <v>238615</v>
      </c>
      <c r="N183" s="93">
        <f>I183-M183</f>
        <v>0</v>
      </c>
      <c r="O183" s="70">
        <f t="shared" si="90"/>
        <v>100</v>
      </c>
      <c r="P183" s="71">
        <f t="shared" si="81"/>
        <v>0</v>
      </c>
      <c r="Q183" s="35">
        <f t="shared" si="82"/>
        <v>0</v>
      </c>
      <c r="R183" s="72">
        <v>1103742</v>
      </c>
      <c r="S183" s="72">
        <f t="shared" si="83"/>
        <v>379499</v>
      </c>
      <c r="T183" s="62">
        <f t="shared" si="86"/>
        <v>379499</v>
      </c>
    </row>
    <row r="184" spans="1:20">
      <c r="A184" s="9"/>
      <c r="B184" s="13"/>
      <c r="C184" s="13"/>
      <c r="D184" s="14"/>
      <c r="E184" s="69">
        <v>112</v>
      </c>
      <c r="F184" s="136" t="s">
        <v>87</v>
      </c>
      <c r="G184" s="37">
        <v>308</v>
      </c>
      <c r="H184" s="37">
        <v>308</v>
      </c>
      <c r="I184" s="37">
        <v>308</v>
      </c>
      <c r="J184" s="75">
        <f t="shared" ref="J184:J201" si="102">M184</f>
        <v>307.48599999999999</v>
      </c>
      <c r="K184" s="35">
        <f>'1.05.'!M183</f>
        <v>0</v>
      </c>
      <c r="L184" s="35">
        <v>307.48599999999999</v>
      </c>
      <c r="M184" s="92">
        <f>K184+L184</f>
        <v>307.48599999999999</v>
      </c>
      <c r="N184" s="93">
        <f t="shared" ref="N184:N185" si="103">I184-M184</f>
        <v>0.51400000000001</v>
      </c>
      <c r="O184" s="70">
        <f t="shared" si="90"/>
        <v>99.833116883116872</v>
      </c>
      <c r="P184" s="71">
        <f t="shared" si="81"/>
        <v>0</v>
      </c>
      <c r="Q184" s="35">
        <f t="shared" si="82"/>
        <v>0.51400000000001</v>
      </c>
      <c r="R184" s="72">
        <v>1103743</v>
      </c>
      <c r="S184" s="72">
        <f t="shared" si="83"/>
        <v>0.51400000000001</v>
      </c>
    </row>
    <row r="185" spans="1:20">
      <c r="A185" s="9"/>
      <c r="B185" s="15"/>
      <c r="C185" s="15"/>
      <c r="D185" s="16"/>
      <c r="E185" s="20">
        <v>113</v>
      </c>
      <c r="F185" s="136" t="s">
        <v>88</v>
      </c>
      <c r="G185" s="37">
        <v>19771</v>
      </c>
      <c r="H185" s="37">
        <v>4992</v>
      </c>
      <c r="I185" s="37">
        <v>4992</v>
      </c>
      <c r="J185" s="75">
        <f t="shared" si="102"/>
        <v>4986</v>
      </c>
      <c r="K185" s="35">
        <f>'1.05.'!M184</f>
        <v>3295.4850000000001</v>
      </c>
      <c r="L185" s="35">
        <v>1690.5150000000001</v>
      </c>
      <c r="M185" s="92">
        <f t="shared" si="73"/>
        <v>4986</v>
      </c>
      <c r="N185" s="93">
        <f t="shared" si="103"/>
        <v>6</v>
      </c>
      <c r="O185" s="70">
        <f t="shared" si="90"/>
        <v>99.879807692307693</v>
      </c>
      <c r="P185" s="71">
        <f t="shared" si="81"/>
        <v>0</v>
      </c>
      <c r="Q185" s="35">
        <f t="shared" si="82"/>
        <v>6</v>
      </c>
      <c r="R185" s="72">
        <v>1103744</v>
      </c>
      <c r="S185" s="72">
        <f t="shared" si="83"/>
        <v>14785</v>
      </c>
      <c r="T185" s="62">
        <f t="shared" si="86"/>
        <v>14785</v>
      </c>
    </row>
    <row r="186" spans="1:20">
      <c r="A186" s="9"/>
      <c r="B186" s="15"/>
      <c r="C186" s="15"/>
      <c r="D186" s="16"/>
      <c r="E186" s="69">
        <v>116</v>
      </c>
      <c r="F186" s="136" t="s">
        <v>89</v>
      </c>
      <c r="G186" s="37">
        <v>10353</v>
      </c>
      <c r="H186" s="37">
        <v>4700</v>
      </c>
      <c r="I186" s="37">
        <v>4700</v>
      </c>
      <c r="J186" s="75">
        <f t="shared" si="102"/>
        <v>4699.8980000000001</v>
      </c>
      <c r="K186" s="35">
        <f>'1.05.'!M185</f>
        <v>3719.8980000000001</v>
      </c>
      <c r="L186" s="35">
        <v>980</v>
      </c>
      <c r="M186" s="92">
        <f>K186+L186</f>
        <v>4699.8980000000001</v>
      </c>
      <c r="N186" s="93">
        <f>I186-M186</f>
        <v>0.10199999999986176</v>
      </c>
      <c r="O186" s="70">
        <f>M186/I186*100</f>
        <v>99.997829787234053</v>
      </c>
      <c r="P186" s="71">
        <f t="shared" si="81"/>
        <v>0</v>
      </c>
      <c r="Q186" s="35">
        <f t="shared" si="82"/>
        <v>0.10199999999986176</v>
      </c>
      <c r="R186" s="72">
        <v>1103745</v>
      </c>
      <c r="S186" s="72">
        <f t="shared" si="83"/>
        <v>5653.1019999999999</v>
      </c>
    </row>
    <row r="187" spans="1:20">
      <c r="A187" s="9"/>
      <c r="B187" s="15"/>
      <c r="C187" s="15"/>
      <c r="D187" s="16"/>
      <c r="E187" s="20">
        <v>121</v>
      </c>
      <c r="F187" s="136" t="s">
        <v>90</v>
      </c>
      <c r="G187" s="37">
        <f>32039+200</f>
        <v>32239</v>
      </c>
      <c r="H187" s="37">
        <v>13300</v>
      </c>
      <c r="I187" s="37">
        <v>13300</v>
      </c>
      <c r="J187" s="75">
        <f t="shared" si="102"/>
        <v>13300</v>
      </c>
      <c r="K187" s="35">
        <f>'1.05.'!M186</f>
        <v>10600</v>
      </c>
      <c r="L187" s="35">
        <v>2700</v>
      </c>
      <c r="M187" s="92">
        <f>K187+L187</f>
        <v>13300</v>
      </c>
      <c r="N187" s="93">
        <f>I187-M187</f>
        <v>0</v>
      </c>
      <c r="O187" s="70">
        <f>M187/I187*100</f>
        <v>100</v>
      </c>
      <c r="P187" s="71">
        <f t="shared" si="81"/>
        <v>0</v>
      </c>
      <c r="Q187" s="35">
        <f t="shared" si="82"/>
        <v>0</v>
      </c>
      <c r="R187" s="72">
        <v>1103746</v>
      </c>
      <c r="S187" s="72">
        <f t="shared" si="83"/>
        <v>18939</v>
      </c>
      <c r="T187" s="62">
        <f t="shared" si="86"/>
        <v>18939</v>
      </c>
    </row>
    <row r="188" spans="1:20" ht="25.5">
      <c r="A188" s="9"/>
      <c r="B188" s="15"/>
      <c r="C188" s="15"/>
      <c r="D188" s="16"/>
      <c r="E188" s="20">
        <v>122</v>
      </c>
      <c r="F188" s="136" t="s">
        <v>91</v>
      </c>
      <c r="G188" s="37">
        <f>27832-200</f>
        <v>27632</v>
      </c>
      <c r="H188" s="37">
        <v>10120</v>
      </c>
      <c r="I188" s="37">
        <v>10120</v>
      </c>
      <c r="J188" s="75">
        <f t="shared" si="102"/>
        <v>10106.273000000001</v>
      </c>
      <c r="K188" s="35">
        <f>'1.05.'!M187</f>
        <v>8020</v>
      </c>
      <c r="L188" s="35">
        <v>2086.2730000000001</v>
      </c>
      <c r="M188" s="92">
        <f t="shared" si="73"/>
        <v>10106.273000000001</v>
      </c>
      <c r="N188" s="93">
        <f t="shared" si="74"/>
        <v>13.726999999998952</v>
      </c>
      <c r="O188" s="70">
        <f t="shared" si="90"/>
        <v>99.864357707509882</v>
      </c>
      <c r="P188" s="71">
        <f t="shared" si="81"/>
        <v>0</v>
      </c>
      <c r="Q188" s="35">
        <f t="shared" si="82"/>
        <v>13.726999999998952</v>
      </c>
      <c r="R188" s="72">
        <v>1103747</v>
      </c>
      <c r="S188" s="72">
        <f t="shared" si="83"/>
        <v>17525.726999999999</v>
      </c>
      <c r="T188" s="62">
        <f t="shared" si="86"/>
        <v>17525.726999999999</v>
      </c>
    </row>
    <row r="189" spans="1:20">
      <c r="A189" s="9"/>
      <c r="B189" s="15"/>
      <c r="C189" s="15"/>
      <c r="D189" s="16"/>
      <c r="E189" s="20">
        <v>123</v>
      </c>
      <c r="F189" s="136" t="s">
        <v>92</v>
      </c>
      <c r="G189" s="37">
        <f>168+34</f>
        <v>202</v>
      </c>
      <c r="H189" s="37">
        <v>202</v>
      </c>
      <c r="I189" s="37">
        <v>202</v>
      </c>
      <c r="J189" s="75">
        <f>M189</f>
        <v>201.94200000000001</v>
      </c>
      <c r="K189" s="35">
        <f>'1.05.'!M188</f>
        <v>34</v>
      </c>
      <c r="L189" s="35">
        <v>167.94200000000001</v>
      </c>
      <c r="M189" s="92">
        <f t="shared" si="73"/>
        <v>201.94200000000001</v>
      </c>
      <c r="N189" s="93">
        <f t="shared" si="74"/>
        <v>5.7999999999992724E-2</v>
      </c>
      <c r="O189" s="70">
        <f t="shared" si="90"/>
        <v>99.971287128712873</v>
      </c>
      <c r="P189" s="71">
        <f t="shared" si="81"/>
        <v>0</v>
      </c>
      <c r="Q189" s="35">
        <f t="shared" si="82"/>
        <v>5.7999999999992724E-2</v>
      </c>
      <c r="R189" s="72">
        <v>1103748</v>
      </c>
      <c r="S189" s="72">
        <f t="shared" si="83"/>
        <v>5.7999999999992724E-2</v>
      </c>
      <c r="T189" s="62">
        <f t="shared" si="86"/>
        <v>5.7999999999992724E-2</v>
      </c>
    </row>
    <row r="190" spans="1:20">
      <c r="A190" s="9"/>
      <c r="B190" s="15"/>
      <c r="C190" s="15"/>
      <c r="D190" s="16"/>
      <c r="E190" s="20">
        <v>124</v>
      </c>
      <c r="F190" s="136" t="s">
        <v>93</v>
      </c>
      <c r="G190" s="37">
        <f>15607-58</f>
        <v>15549</v>
      </c>
      <c r="H190" s="37">
        <v>5550</v>
      </c>
      <c r="I190" s="37">
        <v>5550</v>
      </c>
      <c r="J190" s="75">
        <f t="shared" si="102"/>
        <v>5549.9570000000003</v>
      </c>
      <c r="K190" s="35">
        <f>'1.05.'!M189</f>
        <v>4349.8860000000004</v>
      </c>
      <c r="L190" s="35">
        <v>1200.0709999999999</v>
      </c>
      <c r="M190" s="93">
        <f t="shared" si="73"/>
        <v>5549.9570000000003</v>
      </c>
      <c r="N190" s="93">
        <f t="shared" si="74"/>
        <v>4.2999999999665306E-2</v>
      </c>
      <c r="O190" s="70">
        <f t="shared" si="90"/>
        <v>99.999225225225231</v>
      </c>
      <c r="P190" s="71">
        <f t="shared" si="81"/>
        <v>0</v>
      </c>
      <c r="Q190" s="35">
        <f t="shared" si="82"/>
        <v>4.2999999999665306E-2</v>
      </c>
      <c r="R190" s="72">
        <v>1103749</v>
      </c>
      <c r="S190" s="72">
        <f t="shared" si="83"/>
        <v>9999.0429999999997</v>
      </c>
      <c r="T190" s="62">
        <f t="shared" si="86"/>
        <v>9999.0429999999997</v>
      </c>
    </row>
    <row r="191" spans="1:20" s="73" customFormat="1">
      <c r="A191" s="9"/>
      <c r="B191" s="15"/>
      <c r="C191" s="15"/>
      <c r="D191" s="16"/>
      <c r="E191" s="20">
        <v>141</v>
      </c>
      <c r="F191" s="136" t="s">
        <v>116</v>
      </c>
      <c r="G191" s="37">
        <f>170896-249-5095</f>
        <v>165552</v>
      </c>
      <c r="H191" s="37">
        <v>165552</v>
      </c>
      <c r="I191" s="37">
        <v>21751</v>
      </c>
      <c r="J191" s="75">
        <v>165551.82058999999</v>
      </c>
      <c r="K191" s="35">
        <f>'1.05.'!M190</f>
        <v>9751</v>
      </c>
      <c r="L191" s="35">
        <v>12000</v>
      </c>
      <c r="M191" s="92">
        <f t="shared" si="73"/>
        <v>21751</v>
      </c>
      <c r="N191" s="93">
        <f t="shared" si="74"/>
        <v>0</v>
      </c>
      <c r="O191" s="70">
        <f t="shared" si="90"/>
        <v>100</v>
      </c>
      <c r="P191" s="71">
        <f t="shared" si="81"/>
        <v>143800.82058999999</v>
      </c>
      <c r="Q191" s="35">
        <f t="shared" si="82"/>
        <v>0.17941000001155771</v>
      </c>
      <c r="R191" s="72">
        <v>1103750</v>
      </c>
      <c r="S191" s="72">
        <f t="shared" si="83"/>
        <v>143801</v>
      </c>
      <c r="T191" s="62">
        <f t="shared" si="86"/>
        <v>0.17941000001155771</v>
      </c>
    </row>
    <row r="192" spans="1:20" s="73" customFormat="1">
      <c r="A192" s="9"/>
      <c r="B192" s="15"/>
      <c r="C192" s="15"/>
      <c r="D192" s="16"/>
      <c r="E192" s="20">
        <v>142</v>
      </c>
      <c r="F192" s="5"/>
      <c r="G192" s="37">
        <v>5095</v>
      </c>
      <c r="H192" s="37">
        <v>5095</v>
      </c>
      <c r="I192" s="37"/>
      <c r="J192" s="75">
        <v>905.1</v>
      </c>
      <c r="K192" s="35"/>
      <c r="L192" s="35"/>
      <c r="M192" s="92">
        <f t="shared" ref="M192" si="104">K192+L192</f>
        <v>0</v>
      </c>
      <c r="N192" s="93">
        <f t="shared" ref="N192" si="105">I192-M192</f>
        <v>0</v>
      </c>
      <c r="O192" s="70" t="e">
        <f t="shared" ref="O192" si="106">M192/I192*100</f>
        <v>#DIV/0!</v>
      </c>
      <c r="P192" s="71">
        <f t="shared" ref="P192" si="107">J192-M192</f>
        <v>905.1</v>
      </c>
      <c r="Q192" s="35">
        <f t="shared" ref="Q192" si="108">H192-J192</f>
        <v>4189.8999999999996</v>
      </c>
      <c r="R192" s="72">
        <v>1103751</v>
      </c>
      <c r="S192" s="72">
        <f t="shared" ref="S192" si="109">G192-M192</f>
        <v>5095</v>
      </c>
      <c r="T192" s="62"/>
    </row>
    <row r="193" spans="1:20">
      <c r="A193" s="9"/>
      <c r="B193" s="15"/>
      <c r="C193" s="15"/>
      <c r="D193" s="16"/>
      <c r="E193" s="20">
        <v>144</v>
      </c>
      <c r="F193" s="136" t="s">
        <v>97</v>
      </c>
      <c r="G193" s="37">
        <v>4041</v>
      </c>
      <c r="H193" s="37">
        <v>2952</v>
      </c>
      <c r="I193" s="37">
        <v>2952</v>
      </c>
      <c r="J193" s="75">
        <f t="shared" si="102"/>
        <v>2951.8902699999999</v>
      </c>
      <c r="K193" s="35">
        <f>'1.05.'!M191</f>
        <v>2951.8902699999999</v>
      </c>
      <c r="L193" s="35"/>
      <c r="M193" s="92">
        <f t="shared" si="73"/>
        <v>2951.8902699999999</v>
      </c>
      <c r="N193" s="93">
        <f t="shared" si="74"/>
        <v>0.10973000000012689</v>
      </c>
      <c r="O193" s="70">
        <f t="shared" si="90"/>
        <v>99.99628285907859</v>
      </c>
      <c r="P193" s="71">
        <f t="shared" si="81"/>
        <v>0</v>
      </c>
      <c r="Q193" s="35">
        <f t="shared" si="82"/>
        <v>0.10973000000012689</v>
      </c>
      <c r="R193" s="72">
        <v>1103751</v>
      </c>
      <c r="S193" s="72">
        <f t="shared" si="83"/>
        <v>1089.1097300000001</v>
      </c>
      <c r="T193" s="62">
        <f t="shared" si="86"/>
        <v>1089.1097300000001</v>
      </c>
    </row>
    <row r="194" spans="1:20">
      <c r="A194" s="100"/>
      <c r="B194" s="15"/>
      <c r="C194" s="15"/>
      <c r="D194" s="16"/>
      <c r="E194" s="20">
        <v>149</v>
      </c>
      <c r="F194" s="136" t="s">
        <v>98</v>
      </c>
      <c r="G194" s="37">
        <f>3715-434-155</f>
        <v>3126</v>
      </c>
      <c r="H194" s="37">
        <v>2602</v>
      </c>
      <c r="I194" s="37">
        <v>1266</v>
      </c>
      <c r="J194" s="75">
        <v>2601.58</v>
      </c>
      <c r="K194" s="35">
        <f>'1.05.'!M192</f>
        <v>1265.46</v>
      </c>
      <c r="L194" s="35"/>
      <c r="M194" s="92">
        <f t="shared" si="73"/>
        <v>1265.46</v>
      </c>
      <c r="N194" s="93">
        <f t="shared" si="74"/>
        <v>0.53999999999996362</v>
      </c>
      <c r="O194" s="70">
        <f t="shared" si="90"/>
        <v>99.957345971563981</v>
      </c>
      <c r="P194" s="71">
        <f t="shared" si="81"/>
        <v>1336.12</v>
      </c>
      <c r="Q194" s="35">
        <f t="shared" si="82"/>
        <v>0.42000000000007276</v>
      </c>
      <c r="R194" s="72">
        <v>1103752</v>
      </c>
      <c r="S194" s="72">
        <f t="shared" si="83"/>
        <v>1860.54</v>
      </c>
      <c r="T194" s="62">
        <f t="shared" si="86"/>
        <v>524.42000000000007</v>
      </c>
    </row>
    <row r="195" spans="1:20">
      <c r="A195" s="100"/>
      <c r="B195" s="15"/>
      <c r="C195" s="15"/>
      <c r="D195" s="16"/>
      <c r="E195" s="20">
        <v>151</v>
      </c>
      <c r="F195" s="136" t="s">
        <v>99</v>
      </c>
      <c r="G195" s="37">
        <v>35085</v>
      </c>
      <c r="H195" s="37">
        <v>18600</v>
      </c>
      <c r="I195" s="37">
        <v>18600</v>
      </c>
      <c r="J195" s="75">
        <f>M195</f>
        <v>18600</v>
      </c>
      <c r="K195" s="35">
        <f>'1.05.'!M193</f>
        <v>15400</v>
      </c>
      <c r="L195" s="35">
        <v>3200</v>
      </c>
      <c r="M195" s="92">
        <f t="shared" ref="M195:M201" si="110">K195+L195</f>
        <v>18600</v>
      </c>
      <c r="N195" s="93">
        <f t="shared" ref="N195:N226" si="111">I195-M195</f>
        <v>0</v>
      </c>
      <c r="O195" s="70">
        <f t="shared" si="90"/>
        <v>100</v>
      </c>
      <c r="P195" s="71">
        <f t="shared" si="81"/>
        <v>0</v>
      </c>
      <c r="Q195" s="35">
        <f t="shared" si="82"/>
        <v>0</v>
      </c>
      <c r="R195" s="72">
        <v>1103753</v>
      </c>
      <c r="S195" s="72">
        <f t="shared" si="83"/>
        <v>16485</v>
      </c>
      <c r="T195" s="62">
        <f t="shared" si="86"/>
        <v>16485</v>
      </c>
    </row>
    <row r="196" spans="1:20">
      <c r="A196" s="100"/>
      <c r="B196" s="15"/>
      <c r="C196" s="15"/>
      <c r="D196" s="16"/>
      <c r="E196" s="20">
        <v>152</v>
      </c>
      <c r="F196" s="136" t="s">
        <v>100</v>
      </c>
      <c r="G196" s="37">
        <v>1374</v>
      </c>
      <c r="H196" s="37">
        <v>1374</v>
      </c>
      <c r="I196" s="37">
        <v>171</v>
      </c>
      <c r="J196" s="75">
        <v>1373.87772</v>
      </c>
      <c r="K196" s="35">
        <f>'1.05.'!M194</f>
        <v>149</v>
      </c>
      <c r="L196" s="35">
        <v>22</v>
      </c>
      <c r="M196" s="92">
        <f t="shared" si="110"/>
        <v>171</v>
      </c>
      <c r="N196" s="101">
        <f t="shared" si="111"/>
        <v>0</v>
      </c>
      <c r="O196" s="70">
        <f t="shared" si="90"/>
        <v>100</v>
      </c>
      <c r="P196" s="71">
        <f t="shared" si="81"/>
        <v>1202.87772</v>
      </c>
      <c r="Q196" s="35">
        <f t="shared" si="82"/>
        <v>0.12228000000004613</v>
      </c>
      <c r="R196" s="72">
        <v>1103754</v>
      </c>
      <c r="S196" s="72">
        <f t="shared" si="83"/>
        <v>1203</v>
      </c>
      <c r="T196" s="62">
        <f t="shared" si="86"/>
        <v>0.12228000000004613</v>
      </c>
    </row>
    <row r="197" spans="1:20" ht="25.5">
      <c r="A197" s="100"/>
      <c r="B197" s="15"/>
      <c r="C197" s="15"/>
      <c r="D197" s="16"/>
      <c r="E197" s="20">
        <v>158</v>
      </c>
      <c r="F197" s="136" t="s">
        <v>101</v>
      </c>
      <c r="G197" s="37">
        <f>730+2332</f>
        <v>3062</v>
      </c>
      <c r="H197" s="37">
        <v>3062</v>
      </c>
      <c r="I197" s="37">
        <v>1024</v>
      </c>
      <c r="J197" s="75">
        <v>1837.8155999999999</v>
      </c>
      <c r="K197" s="35">
        <f>'1.05.'!M195</f>
        <v>765.90000000000009</v>
      </c>
      <c r="L197" s="35">
        <v>255.3</v>
      </c>
      <c r="M197" s="92">
        <f t="shared" si="110"/>
        <v>1021.2</v>
      </c>
      <c r="N197" s="101">
        <f t="shared" si="111"/>
        <v>2.7999999999999545</v>
      </c>
      <c r="O197" s="70">
        <f t="shared" si="90"/>
        <v>99.7265625</v>
      </c>
      <c r="P197" s="71">
        <f t="shared" si="81"/>
        <v>816.61559999999986</v>
      </c>
      <c r="Q197" s="35">
        <f t="shared" si="82"/>
        <v>1224.1844000000001</v>
      </c>
      <c r="R197" s="72">
        <v>1103755</v>
      </c>
      <c r="S197" s="72">
        <f t="shared" si="83"/>
        <v>2040.8</v>
      </c>
      <c r="T197" s="62">
        <f t="shared" si="86"/>
        <v>1224.1844000000001</v>
      </c>
    </row>
    <row r="198" spans="1:20">
      <c r="A198" s="100"/>
      <c r="B198" s="15"/>
      <c r="C198" s="15"/>
      <c r="D198" s="16"/>
      <c r="E198" s="20">
        <v>159</v>
      </c>
      <c r="F198" s="136" t="s">
        <v>84</v>
      </c>
      <c r="G198" s="37">
        <f>7434-2332</f>
        <v>5102</v>
      </c>
      <c r="H198" s="37">
        <v>3853</v>
      </c>
      <c r="I198" s="37">
        <v>729</v>
      </c>
      <c r="J198" s="75">
        <v>3852.9033899999999</v>
      </c>
      <c r="K198" s="35">
        <f>'1.05.'!M196</f>
        <v>415.72363999999999</v>
      </c>
      <c r="L198" s="35">
        <v>313.27636000000001</v>
      </c>
      <c r="M198" s="93">
        <f t="shared" si="110"/>
        <v>729</v>
      </c>
      <c r="N198" s="93">
        <f t="shared" si="111"/>
        <v>0</v>
      </c>
      <c r="O198" s="70">
        <f t="shared" si="90"/>
        <v>100</v>
      </c>
      <c r="P198" s="71">
        <f t="shared" si="81"/>
        <v>3123.9033899999999</v>
      </c>
      <c r="Q198" s="35">
        <f t="shared" si="82"/>
        <v>9.6610000000055152E-2</v>
      </c>
      <c r="R198" s="72">
        <v>1103756</v>
      </c>
      <c r="S198" s="72">
        <f t="shared" si="83"/>
        <v>4373</v>
      </c>
      <c r="T198" s="62">
        <f t="shared" si="86"/>
        <v>1249.0966100000001</v>
      </c>
    </row>
    <row r="199" spans="1:20">
      <c r="A199" s="100"/>
      <c r="B199" s="15"/>
      <c r="C199" s="15"/>
      <c r="D199" s="16"/>
      <c r="E199" s="69">
        <v>161</v>
      </c>
      <c r="F199" s="136" t="s">
        <v>102</v>
      </c>
      <c r="G199" s="37">
        <f>58+77</f>
        <v>135</v>
      </c>
      <c r="H199" s="37">
        <v>135</v>
      </c>
      <c r="I199" s="37">
        <v>135</v>
      </c>
      <c r="J199" s="75">
        <f t="shared" si="102"/>
        <v>135</v>
      </c>
      <c r="K199" s="35">
        <f>'1.05.'!M197</f>
        <v>57.9</v>
      </c>
      <c r="L199" s="35">
        <v>77.099999999999994</v>
      </c>
      <c r="M199" s="92">
        <f t="shared" si="110"/>
        <v>135</v>
      </c>
      <c r="N199" s="93">
        <f t="shared" si="111"/>
        <v>0</v>
      </c>
      <c r="O199" s="70">
        <f t="shared" si="90"/>
        <v>100</v>
      </c>
      <c r="P199" s="71">
        <f t="shared" si="81"/>
        <v>0</v>
      </c>
      <c r="Q199" s="35">
        <f t="shared" si="82"/>
        <v>0</v>
      </c>
      <c r="R199" s="72">
        <v>1103757</v>
      </c>
      <c r="S199" s="72">
        <f t="shared" si="83"/>
        <v>0</v>
      </c>
      <c r="T199" s="62">
        <f t="shared" si="86"/>
        <v>0</v>
      </c>
    </row>
    <row r="200" spans="1:20">
      <c r="A200" s="100"/>
      <c r="B200" s="15"/>
      <c r="C200" s="15"/>
      <c r="D200" s="16"/>
      <c r="E200" s="69">
        <v>168</v>
      </c>
      <c r="F200" s="136" t="s">
        <v>103</v>
      </c>
      <c r="G200" s="37">
        <v>1</v>
      </c>
      <c r="H200" s="37">
        <v>1</v>
      </c>
      <c r="I200" s="37">
        <v>1</v>
      </c>
      <c r="J200" s="75">
        <f t="shared" si="102"/>
        <v>3.7740000000000003E-2</v>
      </c>
      <c r="K200" s="35"/>
      <c r="L200" s="35">
        <v>3.7740000000000003E-2</v>
      </c>
      <c r="M200" s="92">
        <f t="shared" ref="M200" si="112">K200+L200</f>
        <v>3.7740000000000003E-2</v>
      </c>
      <c r="N200" s="93">
        <f t="shared" ref="N200" si="113">I200-M200</f>
        <v>0.96226</v>
      </c>
      <c r="O200" s="70">
        <f t="shared" ref="O200" si="114">M200/I200*100</f>
        <v>3.7740000000000005</v>
      </c>
      <c r="P200" s="71"/>
      <c r="Q200" s="35"/>
      <c r="R200" s="72"/>
      <c r="S200" s="72"/>
    </row>
    <row r="201" spans="1:20">
      <c r="A201" s="100"/>
      <c r="B201" s="15"/>
      <c r="C201" s="15"/>
      <c r="D201" s="16"/>
      <c r="E201" s="20">
        <v>169</v>
      </c>
      <c r="F201" s="5" t="s">
        <v>6</v>
      </c>
      <c r="G201" s="37">
        <f>652+400+154</f>
        <v>1206</v>
      </c>
      <c r="H201" s="37">
        <v>1190</v>
      </c>
      <c r="I201" s="37">
        <v>1190</v>
      </c>
      <c r="J201" s="75">
        <f t="shared" si="102"/>
        <v>1190</v>
      </c>
      <c r="K201" s="35">
        <f>'1.05.'!M198</f>
        <v>635.01625999999999</v>
      </c>
      <c r="L201" s="35">
        <v>554.98374000000001</v>
      </c>
      <c r="M201" s="93">
        <f t="shared" si="110"/>
        <v>1190</v>
      </c>
      <c r="N201" s="93">
        <f t="shared" si="111"/>
        <v>0</v>
      </c>
      <c r="O201" s="70">
        <f t="shared" si="90"/>
        <v>100</v>
      </c>
      <c r="P201" s="71">
        <f t="shared" si="81"/>
        <v>0</v>
      </c>
      <c r="Q201" s="35">
        <f t="shared" si="82"/>
        <v>0</v>
      </c>
      <c r="R201" s="72">
        <v>1103758</v>
      </c>
      <c r="S201" s="72">
        <f t="shared" si="83"/>
        <v>16</v>
      </c>
      <c r="T201" s="62">
        <f t="shared" si="86"/>
        <v>16</v>
      </c>
    </row>
    <row r="202" spans="1:20" ht="25.5">
      <c r="A202" s="100"/>
      <c r="B202" s="15"/>
      <c r="C202" s="57" t="s">
        <v>43</v>
      </c>
      <c r="D202" s="16"/>
      <c r="E202" s="20"/>
      <c r="F202" s="139" t="s">
        <v>119</v>
      </c>
      <c r="G202" s="59">
        <f t="shared" ref="G202:N202" si="115">G203</f>
        <v>350929</v>
      </c>
      <c r="H202" s="59">
        <f t="shared" si="115"/>
        <v>350929</v>
      </c>
      <c r="I202" s="59">
        <f t="shared" si="115"/>
        <v>281697</v>
      </c>
      <c r="J202" s="29">
        <f t="shared" si="115"/>
        <v>350929</v>
      </c>
      <c r="K202" s="35">
        <f>'1.02.'!M188</f>
        <v>0</v>
      </c>
      <c r="L202" s="59">
        <f t="shared" si="115"/>
        <v>5624.97948</v>
      </c>
      <c r="M202" s="59">
        <f t="shared" si="115"/>
        <v>210382.77048000001</v>
      </c>
      <c r="N202" s="29">
        <f t="shared" si="115"/>
        <v>71314.229519999993</v>
      </c>
      <c r="O202" s="70"/>
      <c r="P202" s="71">
        <f t="shared" si="81"/>
        <v>140546.22951999999</v>
      </c>
      <c r="Q202" s="35">
        <f t="shared" si="82"/>
        <v>0</v>
      </c>
      <c r="R202" s="72">
        <v>1103759</v>
      </c>
      <c r="S202" s="72">
        <f t="shared" si="83"/>
        <v>140546.22951999999</v>
      </c>
    </row>
    <row r="203" spans="1:20">
      <c r="A203" s="9"/>
      <c r="B203" s="12"/>
      <c r="C203" s="12"/>
      <c r="D203" s="11" t="s">
        <v>7</v>
      </c>
      <c r="E203" s="97"/>
      <c r="F203" s="122" t="s">
        <v>85</v>
      </c>
      <c r="G203" s="98">
        <f>G204+G205</f>
        <v>350929</v>
      </c>
      <c r="H203" s="98">
        <f t="shared" ref="H203:N203" si="116">H204+H205</f>
        <v>350929</v>
      </c>
      <c r="I203" s="98">
        <f t="shared" si="116"/>
        <v>281697</v>
      </c>
      <c r="J203" s="99">
        <f t="shared" si="116"/>
        <v>350929</v>
      </c>
      <c r="K203" s="35">
        <f>'1.02.'!M189</f>
        <v>0</v>
      </c>
      <c r="L203" s="98">
        <f t="shared" si="116"/>
        <v>5624.97948</v>
      </c>
      <c r="M203" s="32">
        <f t="shared" si="116"/>
        <v>210382.77048000001</v>
      </c>
      <c r="N203" s="98">
        <f t="shared" si="116"/>
        <v>71314.229519999993</v>
      </c>
      <c r="O203" s="68">
        <f>M203/I203*100</f>
        <v>74.684064963418137</v>
      </c>
      <c r="P203" s="71">
        <f t="shared" si="81"/>
        <v>140546.22951999999</v>
      </c>
      <c r="Q203" s="35">
        <f t="shared" si="82"/>
        <v>0</v>
      </c>
      <c r="R203" s="72">
        <v>1103760</v>
      </c>
      <c r="S203" s="72">
        <f t="shared" si="83"/>
        <v>140546.22951999999</v>
      </c>
      <c r="T203" s="62">
        <f>G203-J203</f>
        <v>0</v>
      </c>
    </row>
    <row r="204" spans="1:20" ht="25.5">
      <c r="A204" s="100"/>
      <c r="B204" s="15"/>
      <c r="C204" s="15"/>
      <c r="D204" s="16"/>
      <c r="E204" s="20">
        <v>414</v>
      </c>
      <c r="F204" s="50" t="s">
        <v>105</v>
      </c>
      <c r="G204" s="37"/>
      <c r="H204" s="37"/>
      <c r="I204" s="37"/>
      <c r="J204" s="75">
        <f>M204</f>
        <v>0</v>
      </c>
      <c r="K204" s="35">
        <f>'1.05.'!M201</f>
        <v>0</v>
      </c>
      <c r="L204" s="35"/>
      <c r="M204" s="92">
        <f t="shared" ref="M204:M205" si="117">K204+L204</f>
        <v>0</v>
      </c>
      <c r="N204" s="93">
        <f t="shared" ref="N204:N205" si="118">I204-M204</f>
        <v>0</v>
      </c>
      <c r="O204" s="70" t="e">
        <f t="shared" ref="O204:O205" si="119">M204/I204*100</f>
        <v>#DIV/0!</v>
      </c>
      <c r="P204" s="71">
        <f t="shared" si="81"/>
        <v>0</v>
      </c>
      <c r="Q204" s="35">
        <f t="shared" si="82"/>
        <v>0</v>
      </c>
      <c r="R204" s="72">
        <v>1103761</v>
      </c>
      <c r="S204" s="72">
        <f t="shared" si="83"/>
        <v>0</v>
      </c>
    </row>
    <row r="205" spans="1:20" ht="25.5">
      <c r="A205" s="100"/>
      <c r="B205" s="15"/>
      <c r="C205" s="15"/>
      <c r="D205" s="16"/>
      <c r="E205" s="20">
        <v>421</v>
      </c>
      <c r="F205" s="136" t="s">
        <v>156</v>
      </c>
      <c r="G205" s="37">
        <v>350929</v>
      </c>
      <c r="H205" s="37">
        <v>350929</v>
      </c>
      <c r="I205" s="37">
        <v>281697</v>
      </c>
      <c r="J205" s="75">
        <v>350929</v>
      </c>
      <c r="K205" s="35">
        <f>'1.05.'!M202</f>
        <v>204757.791</v>
      </c>
      <c r="L205" s="35">
        <v>5624.97948</v>
      </c>
      <c r="M205" s="92">
        <f t="shared" si="117"/>
        <v>210382.77048000001</v>
      </c>
      <c r="N205" s="93">
        <f t="shared" si="118"/>
        <v>71314.229519999993</v>
      </c>
      <c r="O205" s="70">
        <f t="shared" si="119"/>
        <v>74.684064963418137</v>
      </c>
      <c r="P205" s="71">
        <f t="shared" si="81"/>
        <v>140546.22951999999</v>
      </c>
      <c r="Q205" s="35">
        <f t="shared" si="82"/>
        <v>0</v>
      </c>
      <c r="R205" s="72">
        <v>1103762</v>
      </c>
      <c r="S205" s="72">
        <f t="shared" si="83"/>
        <v>140546.22951999999</v>
      </c>
    </row>
    <row r="206" spans="1:20" s="126" customFormat="1">
      <c r="A206" s="100"/>
      <c r="B206" s="8" t="s">
        <v>20</v>
      </c>
      <c r="C206" s="8"/>
      <c r="D206" s="21"/>
      <c r="E206" s="21"/>
      <c r="F206" s="139" t="s">
        <v>125</v>
      </c>
      <c r="G206" s="59">
        <f>G207+G227</f>
        <v>636935</v>
      </c>
      <c r="H206" s="59">
        <f t="shared" ref="H206:N206" si="120">H207+H227</f>
        <v>275793.59999999998</v>
      </c>
      <c r="I206" s="59">
        <f t="shared" si="120"/>
        <v>209615.2</v>
      </c>
      <c r="J206" s="29">
        <f t="shared" si="120"/>
        <v>232408.12327000001</v>
      </c>
      <c r="K206" s="29">
        <f t="shared" si="120"/>
        <v>161754.65018000003</v>
      </c>
      <c r="L206" s="59">
        <f t="shared" si="120"/>
        <v>47167.407620000005</v>
      </c>
      <c r="M206" s="29">
        <f t="shared" si="120"/>
        <v>208922.05780000001</v>
      </c>
      <c r="N206" s="29">
        <f t="shared" si="120"/>
        <v>693.14219999999966</v>
      </c>
      <c r="O206" s="68">
        <f t="shared" si="90"/>
        <v>99.669326365645233</v>
      </c>
      <c r="P206" s="71">
        <f t="shared" si="81"/>
        <v>23486.065470000001</v>
      </c>
      <c r="Q206" s="35">
        <f t="shared" si="82"/>
        <v>43385.476729999966</v>
      </c>
      <c r="R206" s="72">
        <v>1103763</v>
      </c>
      <c r="S206" s="72">
        <f t="shared" si="83"/>
        <v>428012.94219999999</v>
      </c>
      <c r="T206" s="87">
        <f>G206-J206</f>
        <v>404526.87673000002</v>
      </c>
    </row>
    <row r="207" spans="1:20" s="95" customFormat="1" ht="76.5">
      <c r="A207" s="100"/>
      <c r="B207" s="8"/>
      <c r="C207" s="17" t="s">
        <v>23</v>
      </c>
      <c r="D207" s="17"/>
      <c r="E207" s="21"/>
      <c r="F207" s="139" t="s">
        <v>124</v>
      </c>
      <c r="G207" s="59">
        <f>G208</f>
        <v>636935</v>
      </c>
      <c r="H207" s="59">
        <f t="shared" ref="H207:N207" si="121">H208</f>
        <v>275793.59999999998</v>
      </c>
      <c r="I207" s="59">
        <f t="shared" si="121"/>
        <v>209615.2</v>
      </c>
      <c r="J207" s="59">
        <f t="shared" si="121"/>
        <v>232408.12327000001</v>
      </c>
      <c r="K207" s="29">
        <f t="shared" si="121"/>
        <v>161754.65018000003</v>
      </c>
      <c r="L207" s="59">
        <f t="shared" si="121"/>
        <v>47167.407620000005</v>
      </c>
      <c r="M207" s="29">
        <f t="shared" si="121"/>
        <v>208922.05780000001</v>
      </c>
      <c r="N207" s="29">
        <f t="shared" si="121"/>
        <v>693.14219999999966</v>
      </c>
      <c r="O207" s="68">
        <f t="shared" si="90"/>
        <v>99.669326365645233</v>
      </c>
      <c r="P207" s="71">
        <f t="shared" si="81"/>
        <v>23486.065470000001</v>
      </c>
      <c r="Q207" s="35">
        <f t="shared" si="82"/>
        <v>43385.476729999966</v>
      </c>
      <c r="R207" s="72">
        <v>1103764</v>
      </c>
      <c r="S207" s="72">
        <f t="shared" si="83"/>
        <v>428012.94219999999</v>
      </c>
      <c r="T207" s="62">
        <f t="shared" si="86"/>
        <v>404526.87673000002</v>
      </c>
    </row>
    <row r="208" spans="1:20">
      <c r="A208" s="100"/>
      <c r="B208" s="8"/>
      <c r="C208" s="17"/>
      <c r="D208" s="17" t="s">
        <v>7</v>
      </c>
      <c r="E208" s="10"/>
      <c r="F208" s="140" t="s">
        <v>85</v>
      </c>
      <c r="G208" s="59">
        <f>SUM(G209:G226)</f>
        <v>636935</v>
      </c>
      <c r="H208" s="59">
        <f>SUM(H209:H226)</f>
        <v>275793.59999999998</v>
      </c>
      <c r="I208" s="59">
        <f>SUM(I209:I226)</f>
        <v>209615.2</v>
      </c>
      <c r="J208" s="29">
        <f>SUM(J209:J226)</f>
        <v>232408.12327000001</v>
      </c>
      <c r="K208" s="29">
        <f>SUM(K209:K226)</f>
        <v>161754.65018000003</v>
      </c>
      <c r="L208" s="29">
        <f t="shared" ref="L208:N208" si="122">SUM(L209:L226)</f>
        <v>47167.407620000005</v>
      </c>
      <c r="M208" s="29">
        <f>SUM(M209:M226)</f>
        <v>208922.05780000001</v>
      </c>
      <c r="N208" s="29">
        <f t="shared" si="122"/>
        <v>693.14219999999966</v>
      </c>
      <c r="O208" s="68">
        <f>M208/I208*100</f>
        <v>99.669326365645233</v>
      </c>
      <c r="P208" s="71">
        <f t="shared" si="81"/>
        <v>23486.065470000001</v>
      </c>
      <c r="Q208" s="35">
        <f t="shared" si="82"/>
        <v>43385.476729999966</v>
      </c>
      <c r="R208" s="72">
        <v>1103765</v>
      </c>
      <c r="S208" s="72">
        <f t="shared" si="83"/>
        <v>428012.94219999999</v>
      </c>
      <c r="T208" s="62">
        <f t="shared" si="86"/>
        <v>404526.87673000002</v>
      </c>
    </row>
    <row r="209" spans="1:20">
      <c r="A209" s="100"/>
      <c r="B209" s="9"/>
      <c r="C209" s="9"/>
      <c r="D209" s="69"/>
      <c r="E209" s="69">
        <v>111</v>
      </c>
      <c r="F209" s="136" t="s">
        <v>86</v>
      </c>
      <c r="G209" s="26">
        <v>367447</v>
      </c>
      <c r="H209" s="26">
        <v>151955</v>
      </c>
      <c r="I209" s="26">
        <v>151955</v>
      </c>
      <c r="J209" s="27">
        <f>M209</f>
        <v>151955</v>
      </c>
      <c r="K209" s="35">
        <f>'1.05.'!M206</f>
        <v>121555.334</v>
      </c>
      <c r="L209" s="27">
        <v>30399.666000000001</v>
      </c>
      <c r="M209" s="92">
        <f>K209+L209</f>
        <v>151955</v>
      </c>
      <c r="N209" s="93">
        <f t="shared" si="111"/>
        <v>0</v>
      </c>
      <c r="O209" s="70">
        <f t="shared" si="90"/>
        <v>100</v>
      </c>
      <c r="P209" s="71">
        <f t="shared" si="81"/>
        <v>0</v>
      </c>
      <c r="Q209" s="35">
        <f t="shared" si="82"/>
        <v>0</v>
      </c>
      <c r="R209" s="72">
        <v>1103766</v>
      </c>
      <c r="S209" s="72">
        <f t="shared" si="83"/>
        <v>215492</v>
      </c>
      <c r="T209" s="62">
        <f t="shared" si="86"/>
        <v>215492</v>
      </c>
    </row>
    <row r="210" spans="1:20">
      <c r="A210" s="100"/>
      <c r="B210" s="9"/>
      <c r="C210" s="9"/>
      <c r="D210" s="69"/>
      <c r="E210" s="69">
        <v>112</v>
      </c>
      <c r="F210" s="136" t="s">
        <v>87</v>
      </c>
      <c r="G210" s="26"/>
      <c r="H210" s="26"/>
      <c r="I210" s="26"/>
      <c r="J210" s="27">
        <f t="shared" ref="J210:J226" si="123">M210</f>
        <v>0</v>
      </c>
      <c r="K210" s="35">
        <f>'1.05.'!M207</f>
        <v>0</v>
      </c>
      <c r="L210" s="27"/>
      <c r="M210" s="92">
        <f>K210+L210</f>
        <v>0</v>
      </c>
      <c r="N210" s="93">
        <f t="shared" si="111"/>
        <v>0</v>
      </c>
      <c r="O210" s="70" t="e">
        <f t="shared" si="90"/>
        <v>#DIV/0!</v>
      </c>
      <c r="P210" s="71">
        <f t="shared" si="81"/>
        <v>0</v>
      </c>
      <c r="Q210" s="35">
        <f t="shared" si="82"/>
        <v>0</v>
      </c>
      <c r="R210" s="72">
        <v>1103767</v>
      </c>
      <c r="S210" s="72">
        <f t="shared" si="83"/>
        <v>0</v>
      </c>
    </row>
    <row r="211" spans="1:20">
      <c r="A211" s="100"/>
      <c r="B211" s="9"/>
      <c r="C211" s="9"/>
      <c r="D211" s="69"/>
      <c r="E211" s="76">
        <v>113</v>
      </c>
      <c r="F211" s="136" t="s">
        <v>88</v>
      </c>
      <c r="G211" s="26">
        <v>11349</v>
      </c>
      <c r="H211" s="26">
        <v>2489</v>
      </c>
      <c r="I211" s="26">
        <v>2489</v>
      </c>
      <c r="J211" s="27">
        <f t="shared" si="123"/>
        <v>2489</v>
      </c>
      <c r="K211" s="35">
        <f>'1.05.'!M208</f>
        <v>1903.21</v>
      </c>
      <c r="L211" s="27">
        <v>585.79</v>
      </c>
      <c r="M211" s="92">
        <f t="shared" ref="M211:M226" si="124">K211+L211</f>
        <v>2489</v>
      </c>
      <c r="N211" s="93">
        <f>I211-M211</f>
        <v>0</v>
      </c>
      <c r="O211" s="70">
        <f>M211/I211*100</f>
        <v>100</v>
      </c>
      <c r="P211" s="71">
        <f t="shared" si="81"/>
        <v>0</v>
      </c>
      <c r="Q211" s="35">
        <f t="shared" si="82"/>
        <v>0</v>
      </c>
      <c r="R211" s="72">
        <v>1103768</v>
      </c>
      <c r="S211" s="72">
        <f t="shared" si="83"/>
        <v>8860</v>
      </c>
      <c r="T211" s="62">
        <f t="shared" si="86"/>
        <v>8860</v>
      </c>
    </row>
    <row r="212" spans="1:20">
      <c r="A212" s="100"/>
      <c r="B212" s="9"/>
      <c r="C212" s="9"/>
      <c r="D212" s="69"/>
      <c r="E212" s="69">
        <v>116</v>
      </c>
      <c r="F212" s="136" t="s">
        <v>89</v>
      </c>
      <c r="G212" s="26">
        <v>11283</v>
      </c>
      <c r="H212" s="26">
        <v>3675</v>
      </c>
      <c r="I212" s="26">
        <v>3675</v>
      </c>
      <c r="J212" s="27">
        <f t="shared" si="123"/>
        <v>3645</v>
      </c>
      <c r="K212" s="35">
        <f>'1.05.'!M209</f>
        <v>3012</v>
      </c>
      <c r="L212" s="27">
        <v>633</v>
      </c>
      <c r="M212" s="92">
        <f t="shared" si="124"/>
        <v>3645</v>
      </c>
      <c r="N212" s="93">
        <f>I212-M212</f>
        <v>30</v>
      </c>
      <c r="O212" s="70">
        <f>M212/I212*100</f>
        <v>99.183673469387756</v>
      </c>
      <c r="P212" s="71">
        <f t="shared" si="81"/>
        <v>0</v>
      </c>
      <c r="Q212" s="35">
        <f t="shared" si="82"/>
        <v>30</v>
      </c>
      <c r="R212" s="72">
        <v>1103769</v>
      </c>
      <c r="S212" s="72">
        <f t="shared" si="83"/>
        <v>7638</v>
      </c>
    </row>
    <row r="213" spans="1:20">
      <c r="A213" s="100"/>
      <c r="B213" s="9"/>
      <c r="C213" s="9"/>
      <c r="D213" s="69"/>
      <c r="E213" s="69">
        <v>121</v>
      </c>
      <c r="F213" s="136" t="s">
        <v>90</v>
      </c>
      <c r="G213" s="26">
        <v>19034</v>
      </c>
      <c r="H213" s="26">
        <v>8020</v>
      </c>
      <c r="I213" s="26">
        <v>8020</v>
      </c>
      <c r="J213" s="27">
        <f t="shared" si="123"/>
        <v>8020</v>
      </c>
      <c r="K213" s="35">
        <f>'1.05.'!M210</f>
        <v>6416</v>
      </c>
      <c r="L213" s="27">
        <v>1604</v>
      </c>
      <c r="M213" s="92">
        <f t="shared" si="124"/>
        <v>8020</v>
      </c>
      <c r="N213" s="93">
        <f t="shared" si="111"/>
        <v>0</v>
      </c>
      <c r="O213" s="70">
        <f t="shared" si="90"/>
        <v>100</v>
      </c>
      <c r="P213" s="71">
        <f t="shared" si="81"/>
        <v>0</v>
      </c>
      <c r="Q213" s="35">
        <f t="shared" si="82"/>
        <v>0</v>
      </c>
      <c r="R213" s="72">
        <v>1103770</v>
      </c>
      <c r="S213" s="72">
        <f t="shared" si="83"/>
        <v>11014</v>
      </c>
      <c r="T213" s="62">
        <f t="shared" si="86"/>
        <v>11014</v>
      </c>
    </row>
    <row r="214" spans="1:20" ht="25.5">
      <c r="A214" s="100"/>
      <c r="B214" s="9"/>
      <c r="C214" s="9"/>
      <c r="D214" s="69"/>
      <c r="E214" s="69">
        <v>122</v>
      </c>
      <c r="F214" s="136" t="s">
        <v>91</v>
      </c>
      <c r="G214" s="26">
        <v>16535</v>
      </c>
      <c r="H214" s="26">
        <v>6840</v>
      </c>
      <c r="I214" s="26">
        <v>6840</v>
      </c>
      <c r="J214" s="27">
        <f t="shared" si="123"/>
        <v>6825.2060000000001</v>
      </c>
      <c r="K214" s="35">
        <f>'1.05.'!M211</f>
        <v>5439.2719999999999</v>
      </c>
      <c r="L214" s="27">
        <v>1385.934</v>
      </c>
      <c r="M214" s="92">
        <f t="shared" si="124"/>
        <v>6825.2060000000001</v>
      </c>
      <c r="N214" s="93">
        <f t="shared" si="111"/>
        <v>14.793999999999869</v>
      </c>
      <c r="O214" s="70">
        <f t="shared" si="90"/>
        <v>99.783713450292396</v>
      </c>
      <c r="P214" s="71">
        <f t="shared" si="81"/>
        <v>0</v>
      </c>
      <c r="Q214" s="35">
        <f t="shared" si="82"/>
        <v>14.793999999999869</v>
      </c>
      <c r="R214" s="72">
        <v>1103771</v>
      </c>
      <c r="S214" s="72">
        <f t="shared" si="83"/>
        <v>9709.7939999999999</v>
      </c>
      <c r="T214" s="62">
        <f t="shared" si="86"/>
        <v>9709.7939999999999</v>
      </c>
    </row>
    <row r="215" spans="1:20">
      <c r="A215" s="100"/>
      <c r="B215" s="9"/>
      <c r="C215" s="9"/>
      <c r="D215" s="69"/>
      <c r="E215" s="69">
        <v>123</v>
      </c>
      <c r="F215" s="136" t="s">
        <v>92</v>
      </c>
      <c r="G215" s="26">
        <v>532</v>
      </c>
      <c r="H215" s="26">
        <v>78</v>
      </c>
      <c r="I215" s="26">
        <v>78</v>
      </c>
      <c r="J215" s="27">
        <f t="shared" si="123"/>
        <v>77.43374</v>
      </c>
      <c r="K215" s="35">
        <f>'1.05.'!M212</f>
        <v>77.43374</v>
      </c>
      <c r="L215" s="27"/>
      <c r="M215" s="92">
        <f t="shared" si="124"/>
        <v>77.43374</v>
      </c>
      <c r="N215" s="93">
        <f t="shared" si="111"/>
        <v>0.56625999999999976</v>
      </c>
      <c r="O215" s="70">
        <f>M215/I215*100</f>
        <v>99.274025641025645</v>
      </c>
      <c r="P215" s="71">
        <f t="shared" si="81"/>
        <v>0</v>
      </c>
      <c r="Q215" s="35">
        <f t="shared" si="82"/>
        <v>0.56625999999999976</v>
      </c>
      <c r="R215" s="72">
        <v>1103772</v>
      </c>
      <c r="S215" s="72">
        <f t="shared" si="83"/>
        <v>454.56626</v>
      </c>
      <c r="T215" s="62">
        <f t="shared" si="86"/>
        <v>454.56626</v>
      </c>
    </row>
    <row r="216" spans="1:20">
      <c r="A216" s="100"/>
      <c r="B216" s="9"/>
      <c r="C216" s="9"/>
      <c r="D216" s="69"/>
      <c r="E216" s="69">
        <v>124</v>
      </c>
      <c r="F216" s="136" t="s">
        <v>93</v>
      </c>
      <c r="G216" s="26">
        <v>11023</v>
      </c>
      <c r="H216" s="26">
        <v>3264</v>
      </c>
      <c r="I216" s="26">
        <v>3264</v>
      </c>
      <c r="J216" s="27">
        <f t="shared" si="123"/>
        <v>3135.7930000000001</v>
      </c>
      <c r="K216" s="35">
        <f>'1.05.'!M213</f>
        <v>2337.5100000000002</v>
      </c>
      <c r="L216" s="27">
        <v>798.28300000000002</v>
      </c>
      <c r="M216" s="92">
        <f t="shared" si="124"/>
        <v>3135.7930000000001</v>
      </c>
      <c r="N216" s="93">
        <f t="shared" si="111"/>
        <v>128.20699999999988</v>
      </c>
      <c r="O216" s="70">
        <f t="shared" si="90"/>
        <v>96.072089460784312</v>
      </c>
      <c r="P216" s="71">
        <f t="shared" ref="P216:P284" si="125">J216-M216</f>
        <v>0</v>
      </c>
      <c r="Q216" s="35">
        <f t="shared" ref="Q216:Q284" si="126">H216-J216</f>
        <v>128.20699999999988</v>
      </c>
      <c r="R216" s="72">
        <v>1103773</v>
      </c>
      <c r="S216" s="72">
        <f t="shared" ref="S216:S284" si="127">G216-M216</f>
        <v>7887.2070000000003</v>
      </c>
      <c r="T216" s="62">
        <f t="shared" si="86"/>
        <v>7887.2070000000003</v>
      </c>
    </row>
    <row r="217" spans="1:20">
      <c r="A217" s="100"/>
      <c r="B217" s="9"/>
      <c r="C217" s="9"/>
      <c r="D217" s="69"/>
      <c r="E217" s="69">
        <v>141</v>
      </c>
      <c r="F217" s="136" t="s">
        <v>116</v>
      </c>
      <c r="G217" s="26">
        <v>103078</v>
      </c>
      <c r="H217" s="26">
        <v>60000</v>
      </c>
      <c r="I217" s="26">
        <v>3149</v>
      </c>
      <c r="J217" s="27">
        <v>21925.809000000001</v>
      </c>
      <c r="K217" s="35">
        <f>'1.05.'!M214</f>
        <v>0</v>
      </c>
      <c r="L217" s="27">
        <v>3148.5949999999998</v>
      </c>
      <c r="M217" s="92">
        <f t="shared" si="124"/>
        <v>3148.5949999999998</v>
      </c>
      <c r="N217" s="93">
        <f t="shared" si="111"/>
        <v>0.40500000000020009</v>
      </c>
      <c r="O217" s="70">
        <f t="shared" si="90"/>
        <v>99.987138774214031</v>
      </c>
      <c r="P217" s="71">
        <f t="shared" si="125"/>
        <v>18777.214</v>
      </c>
      <c r="Q217" s="35">
        <f t="shared" si="126"/>
        <v>38074.190999999999</v>
      </c>
      <c r="R217" s="72">
        <v>1103774</v>
      </c>
      <c r="S217" s="72">
        <f t="shared" si="127"/>
        <v>99929.404999999999</v>
      </c>
      <c r="T217" s="62">
        <f t="shared" si="86"/>
        <v>81152.190999999992</v>
      </c>
    </row>
    <row r="218" spans="1:20" s="73" customFormat="1">
      <c r="A218" s="100"/>
      <c r="B218" s="9"/>
      <c r="C218" s="9"/>
      <c r="D218" s="69"/>
      <c r="E218" s="69">
        <v>142</v>
      </c>
      <c r="F218" s="136" t="s">
        <v>97</v>
      </c>
      <c r="G218" s="26">
        <f>26237-10823</f>
        <v>15414</v>
      </c>
      <c r="H218" s="26">
        <v>2289.6999999999998</v>
      </c>
      <c r="I218" s="26">
        <v>2155.1</v>
      </c>
      <c r="J218" s="27">
        <v>2154.6495</v>
      </c>
      <c r="K218" s="35">
        <f>'1.05.'!M215</f>
        <v>1155.3834999999999</v>
      </c>
      <c r="L218" s="27">
        <v>999.26599999999996</v>
      </c>
      <c r="M218" s="92">
        <f t="shared" si="124"/>
        <v>2154.6495</v>
      </c>
      <c r="N218" s="93">
        <f t="shared" si="111"/>
        <v>0.45049999999991996</v>
      </c>
      <c r="O218" s="70">
        <f t="shared" si="90"/>
        <v>99.979096097628883</v>
      </c>
      <c r="P218" s="71">
        <f t="shared" si="125"/>
        <v>0</v>
      </c>
      <c r="Q218" s="35">
        <f t="shared" si="126"/>
        <v>135.05049999999983</v>
      </c>
      <c r="R218" s="72">
        <v>1103775</v>
      </c>
      <c r="S218" s="72">
        <f t="shared" si="127"/>
        <v>13259.3505</v>
      </c>
      <c r="T218" s="62">
        <f t="shared" si="86"/>
        <v>13259.3505</v>
      </c>
    </row>
    <row r="219" spans="1:20">
      <c r="A219" s="100"/>
      <c r="B219" s="9"/>
      <c r="C219" s="9"/>
      <c r="D219" s="69"/>
      <c r="E219" s="69">
        <v>144</v>
      </c>
      <c r="F219" s="136" t="s">
        <v>98</v>
      </c>
      <c r="G219" s="26">
        <v>3824</v>
      </c>
      <c r="H219" s="26">
        <v>2726.4</v>
      </c>
      <c r="I219" s="26">
        <v>1092.5</v>
      </c>
      <c r="J219" s="27">
        <f>M219</f>
        <v>1092.4529</v>
      </c>
      <c r="K219" s="35">
        <f>'1.05.'!M216</f>
        <v>0</v>
      </c>
      <c r="L219" s="27">
        <v>1092.4529</v>
      </c>
      <c r="M219" s="92">
        <f t="shared" si="124"/>
        <v>1092.4529</v>
      </c>
      <c r="N219" s="93">
        <f t="shared" si="111"/>
        <v>4.7100000000000364E-2</v>
      </c>
      <c r="O219" s="70">
        <f t="shared" si="90"/>
        <v>99.995688787185358</v>
      </c>
      <c r="P219" s="71">
        <f t="shared" si="125"/>
        <v>0</v>
      </c>
      <c r="Q219" s="35">
        <f t="shared" si="126"/>
        <v>1633.9471000000001</v>
      </c>
      <c r="R219" s="72">
        <v>1103776</v>
      </c>
      <c r="S219" s="72">
        <f t="shared" si="127"/>
        <v>2731.5470999999998</v>
      </c>
      <c r="T219" s="62">
        <f t="shared" si="86"/>
        <v>2731.5470999999998</v>
      </c>
    </row>
    <row r="220" spans="1:20">
      <c r="A220" s="100"/>
      <c r="B220" s="9"/>
      <c r="C220" s="9"/>
      <c r="D220" s="69"/>
      <c r="E220" s="69">
        <v>149</v>
      </c>
      <c r="F220" s="136" t="s">
        <v>99</v>
      </c>
      <c r="G220" s="26">
        <v>9021</v>
      </c>
      <c r="H220" s="26">
        <v>5496</v>
      </c>
      <c r="I220" s="26">
        <v>5493.5</v>
      </c>
      <c r="J220" s="27">
        <f t="shared" si="123"/>
        <v>5314.0020599999998</v>
      </c>
      <c r="K220" s="35">
        <f>'1.05.'!M217</f>
        <v>3859.76206</v>
      </c>
      <c r="L220" s="27">
        <v>1454.24</v>
      </c>
      <c r="M220" s="92">
        <f t="shared" si="124"/>
        <v>5314.0020599999998</v>
      </c>
      <c r="N220" s="93">
        <f t="shared" si="111"/>
        <v>179.4979400000002</v>
      </c>
      <c r="O220" s="70">
        <f t="shared" si="90"/>
        <v>96.732539546737044</v>
      </c>
      <c r="P220" s="71">
        <f t="shared" si="125"/>
        <v>0</v>
      </c>
      <c r="Q220" s="35">
        <f t="shared" si="126"/>
        <v>181.9979400000002</v>
      </c>
      <c r="R220" s="72">
        <v>1103777</v>
      </c>
      <c r="S220" s="72">
        <f t="shared" si="127"/>
        <v>3706.9979400000002</v>
      </c>
      <c r="T220" s="62">
        <f t="shared" si="86"/>
        <v>3706.9979400000002</v>
      </c>
    </row>
    <row r="221" spans="1:20">
      <c r="A221" s="100"/>
      <c r="B221" s="9"/>
      <c r="C221" s="9"/>
      <c r="D221" s="69"/>
      <c r="E221" s="69">
        <v>151</v>
      </c>
      <c r="F221" s="136" t="s">
        <v>100</v>
      </c>
      <c r="G221" s="26">
        <v>33050</v>
      </c>
      <c r="H221" s="26">
        <v>13991</v>
      </c>
      <c r="I221" s="26">
        <v>13991</v>
      </c>
      <c r="J221" s="27">
        <f t="shared" si="123"/>
        <v>13990.679620000001</v>
      </c>
      <c r="K221" s="35">
        <f>'1.05.'!M218</f>
        <v>11237.98991</v>
      </c>
      <c r="L221" s="27">
        <v>2752.6897100000001</v>
      </c>
      <c r="M221" s="92">
        <f t="shared" si="124"/>
        <v>13990.679620000001</v>
      </c>
      <c r="N221" s="93">
        <f t="shared" si="111"/>
        <v>0.3203799999992043</v>
      </c>
      <c r="O221" s="70">
        <f t="shared" si="90"/>
        <v>99.99771009934959</v>
      </c>
      <c r="P221" s="71">
        <f t="shared" si="125"/>
        <v>0</v>
      </c>
      <c r="Q221" s="35">
        <f t="shared" si="126"/>
        <v>0.3203799999992043</v>
      </c>
      <c r="R221" s="72">
        <v>1103778</v>
      </c>
      <c r="S221" s="72">
        <f t="shared" si="127"/>
        <v>19059.320379999997</v>
      </c>
      <c r="T221" s="62">
        <f t="shared" si="86"/>
        <v>19059.320379999997</v>
      </c>
    </row>
    <row r="222" spans="1:20" ht="25.5">
      <c r="A222" s="100"/>
      <c r="B222" s="9"/>
      <c r="C222" s="9"/>
      <c r="D222" s="69"/>
      <c r="E222" s="69">
        <v>152</v>
      </c>
      <c r="F222" s="136" t="s">
        <v>101</v>
      </c>
      <c r="G222" s="26">
        <v>3322</v>
      </c>
      <c r="H222" s="26">
        <v>3322</v>
      </c>
      <c r="I222" s="26">
        <v>277</v>
      </c>
      <c r="J222" s="27">
        <v>1939.52</v>
      </c>
      <c r="K222" s="35">
        <f>'1.05.'!M219</f>
        <v>0</v>
      </c>
      <c r="L222" s="27"/>
      <c r="M222" s="92">
        <f t="shared" si="124"/>
        <v>0</v>
      </c>
      <c r="N222" s="93">
        <f t="shared" si="111"/>
        <v>277</v>
      </c>
      <c r="O222" s="70">
        <f t="shared" si="90"/>
        <v>0</v>
      </c>
      <c r="P222" s="71">
        <f t="shared" si="125"/>
        <v>1939.52</v>
      </c>
      <c r="Q222" s="35">
        <f t="shared" si="126"/>
        <v>1382.48</v>
      </c>
      <c r="R222" s="72">
        <v>1103779</v>
      </c>
      <c r="S222" s="72">
        <f t="shared" si="127"/>
        <v>3322</v>
      </c>
      <c r="T222" s="62">
        <f t="shared" si="86"/>
        <v>1382.48</v>
      </c>
    </row>
    <row r="223" spans="1:20">
      <c r="A223" s="100"/>
      <c r="B223" s="9"/>
      <c r="C223" s="9"/>
      <c r="D223" s="69"/>
      <c r="E223" s="69">
        <v>158</v>
      </c>
      <c r="F223" s="136" t="s">
        <v>84</v>
      </c>
      <c r="G223" s="26">
        <v>2290</v>
      </c>
      <c r="H223" s="26">
        <v>2290</v>
      </c>
      <c r="I223" s="26">
        <v>534.9</v>
      </c>
      <c r="J223" s="27">
        <v>1993.24</v>
      </c>
      <c r="K223" s="35">
        <f>'1.05.'!M220</f>
        <v>358.84000000000003</v>
      </c>
      <c r="L223" s="27">
        <v>114.84</v>
      </c>
      <c r="M223" s="92">
        <f t="shared" si="124"/>
        <v>473.68000000000006</v>
      </c>
      <c r="N223" s="93">
        <f t="shared" si="111"/>
        <v>61.219999999999914</v>
      </c>
      <c r="O223" s="70">
        <f t="shared" si="90"/>
        <v>88.554870069171827</v>
      </c>
      <c r="P223" s="71">
        <f t="shared" si="125"/>
        <v>1519.56</v>
      </c>
      <c r="Q223" s="35">
        <f t="shared" si="126"/>
        <v>296.76</v>
      </c>
      <c r="R223" s="72">
        <v>1103780</v>
      </c>
      <c r="S223" s="72">
        <f t="shared" si="127"/>
        <v>1816.32</v>
      </c>
      <c r="T223" s="62">
        <f t="shared" si="86"/>
        <v>296.76</v>
      </c>
    </row>
    <row r="224" spans="1:20">
      <c r="A224" s="100"/>
      <c r="B224" s="9"/>
      <c r="C224" s="9"/>
      <c r="D224" s="69"/>
      <c r="E224" s="69">
        <v>159</v>
      </c>
      <c r="F224" s="136" t="s">
        <v>102</v>
      </c>
      <c r="G224" s="26">
        <f>16176-1560+10823</f>
        <v>25439</v>
      </c>
      <c r="H224" s="26">
        <v>7103</v>
      </c>
      <c r="I224" s="26">
        <v>4346.7</v>
      </c>
      <c r="J224" s="27">
        <v>5595.83745</v>
      </c>
      <c r="K224" s="35">
        <f>'1.05.'!M221</f>
        <v>2756.4149699999998</v>
      </c>
      <c r="L224" s="27">
        <v>1589.65101</v>
      </c>
      <c r="M224" s="92">
        <f t="shared" si="124"/>
        <v>4346.0659799999994</v>
      </c>
      <c r="N224" s="93">
        <f t="shared" si="111"/>
        <v>0.6340200000004188</v>
      </c>
      <c r="O224" s="70">
        <f t="shared" si="90"/>
        <v>99.985413762164384</v>
      </c>
      <c r="P224" s="71">
        <f t="shared" si="125"/>
        <v>1249.7714700000006</v>
      </c>
      <c r="Q224" s="35">
        <f t="shared" si="126"/>
        <v>1507.16255</v>
      </c>
      <c r="R224" s="72">
        <v>1103781</v>
      </c>
      <c r="S224" s="72">
        <f t="shared" si="127"/>
        <v>21092.934020000001</v>
      </c>
      <c r="T224" s="62">
        <f t="shared" si="86"/>
        <v>19843.162550000001</v>
      </c>
    </row>
    <row r="225" spans="1:20">
      <c r="A225" s="100"/>
      <c r="B225" s="9"/>
      <c r="C225" s="9"/>
      <c r="D225" s="69"/>
      <c r="E225" s="69">
        <v>161</v>
      </c>
      <c r="F225" s="136" t="s">
        <v>103</v>
      </c>
      <c r="G225" s="26">
        <v>4231</v>
      </c>
      <c r="H225" s="26">
        <v>2254.5</v>
      </c>
      <c r="I225" s="26">
        <v>2254.5</v>
      </c>
      <c r="J225" s="27">
        <f t="shared" si="123"/>
        <v>2254.5</v>
      </c>
      <c r="K225" s="35">
        <f>'1.05.'!M222</f>
        <v>1645.5</v>
      </c>
      <c r="L225" s="27">
        <v>609</v>
      </c>
      <c r="M225" s="92">
        <f t="shared" si="124"/>
        <v>2254.5</v>
      </c>
      <c r="N225" s="93">
        <f t="shared" si="111"/>
        <v>0</v>
      </c>
      <c r="O225" s="70">
        <f t="shared" si="90"/>
        <v>100</v>
      </c>
      <c r="P225" s="71">
        <f t="shared" si="125"/>
        <v>0</v>
      </c>
      <c r="Q225" s="35">
        <f t="shared" si="126"/>
        <v>0</v>
      </c>
      <c r="R225" s="72">
        <v>1103782</v>
      </c>
      <c r="S225" s="72">
        <f t="shared" si="127"/>
        <v>1976.5</v>
      </c>
      <c r="T225" s="62">
        <f t="shared" si="86"/>
        <v>1976.5</v>
      </c>
    </row>
    <row r="226" spans="1:20">
      <c r="A226" s="100"/>
      <c r="B226" s="9"/>
      <c r="C226" s="9"/>
      <c r="D226" s="69"/>
      <c r="E226" s="69">
        <v>169</v>
      </c>
      <c r="F226" s="136" t="s">
        <v>103</v>
      </c>
      <c r="G226" s="26">
        <v>63</v>
      </c>
      <c r="H226" s="26"/>
      <c r="I226" s="26"/>
      <c r="J226" s="27">
        <f t="shared" si="123"/>
        <v>0</v>
      </c>
      <c r="K226" s="35">
        <f>'1.05.'!M223</f>
        <v>0</v>
      </c>
      <c r="L226" s="27"/>
      <c r="M226" s="92">
        <f t="shared" si="124"/>
        <v>0</v>
      </c>
      <c r="N226" s="93">
        <f t="shared" si="111"/>
        <v>0</v>
      </c>
      <c r="O226" s="70" t="e">
        <f t="shared" si="90"/>
        <v>#DIV/0!</v>
      </c>
      <c r="P226" s="71">
        <f t="shared" si="125"/>
        <v>0</v>
      </c>
      <c r="Q226" s="35">
        <f t="shared" si="126"/>
        <v>0</v>
      </c>
      <c r="R226" s="72">
        <v>1103783</v>
      </c>
      <c r="S226" s="72">
        <f t="shared" si="127"/>
        <v>63</v>
      </c>
      <c r="T226" s="62">
        <f t="shared" si="86"/>
        <v>63</v>
      </c>
    </row>
    <row r="227" spans="1:20" ht="25.5" hidden="1">
      <c r="A227" s="100"/>
      <c r="B227" s="15"/>
      <c r="C227" s="57" t="s">
        <v>43</v>
      </c>
      <c r="D227" s="18"/>
      <c r="E227" s="115"/>
      <c r="F227" s="67" t="s">
        <v>44</v>
      </c>
      <c r="G227" s="59">
        <f t="shared" ref="G227:N228" si="128">G228</f>
        <v>0</v>
      </c>
      <c r="H227" s="59">
        <f t="shared" si="128"/>
        <v>0</v>
      </c>
      <c r="I227" s="59">
        <f t="shared" si="128"/>
        <v>0</v>
      </c>
      <c r="J227" s="33">
        <f t="shared" si="128"/>
        <v>0</v>
      </c>
      <c r="K227" s="35">
        <f>'1.05.'!M224</f>
        <v>0</v>
      </c>
      <c r="L227" s="59">
        <f t="shared" si="128"/>
        <v>0</v>
      </c>
      <c r="M227" s="59">
        <f t="shared" si="128"/>
        <v>0</v>
      </c>
      <c r="N227" s="59">
        <f t="shared" si="128"/>
        <v>0</v>
      </c>
      <c r="O227" s="70"/>
      <c r="P227" s="71">
        <f t="shared" si="125"/>
        <v>0</v>
      </c>
      <c r="Q227" s="35">
        <f t="shared" si="126"/>
        <v>0</v>
      </c>
      <c r="R227" s="72">
        <v>1103784</v>
      </c>
      <c r="S227" s="72">
        <f t="shared" si="127"/>
        <v>0</v>
      </c>
    </row>
    <row r="228" spans="1:20" hidden="1">
      <c r="A228" s="9"/>
      <c r="B228" s="12"/>
      <c r="C228" s="12"/>
      <c r="D228" s="11" t="s">
        <v>7</v>
      </c>
      <c r="E228" s="97"/>
      <c r="F228" s="4" t="s">
        <v>22</v>
      </c>
      <c r="G228" s="98">
        <f t="shared" si="128"/>
        <v>0</v>
      </c>
      <c r="H228" s="98">
        <f t="shared" si="128"/>
        <v>0</v>
      </c>
      <c r="I228" s="98">
        <f t="shared" si="128"/>
        <v>0</v>
      </c>
      <c r="J228" s="99">
        <f>J229</f>
        <v>0</v>
      </c>
      <c r="K228" s="35">
        <f>'1.05.'!M225</f>
        <v>0</v>
      </c>
      <c r="L228" s="98">
        <f t="shared" si="128"/>
        <v>0</v>
      </c>
      <c r="M228" s="98">
        <f t="shared" si="128"/>
        <v>0</v>
      </c>
      <c r="N228" s="98">
        <f t="shared" si="128"/>
        <v>0</v>
      </c>
      <c r="O228" s="68" t="e">
        <f>M228/I228*100</f>
        <v>#DIV/0!</v>
      </c>
      <c r="P228" s="71">
        <f t="shared" si="125"/>
        <v>0</v>
      </c>
      <c r="Q228" s="35">
        <f t="shared" si="126"/>
        <v>0</v>
      </c>
      <c r="R228" s="72">
        <v>1103785</v>
      </c>
      <c r="S228" s="72">
        <f t="shared" si="127"/>
        <v>0</v>
      </c>
      <c r="T228" s="62">
        <f>G228-J228</f>
        <v>0</v>
      </c>
    </row>
    <row r="229" spans="1:20" ht="25.5" hidden="1">
      <c r="A229" s="100"/>
      <c r="B229" s="15"/>
      <c r="C229" s="15"/>
      <c r="D229" s="16"/>
      <c r="E229" s="20">
        <v>414</v>
      </c>
      <c r="F229" s="86" t="s">
        <v>64</v>
      </c>
      <c r="G229" s="37"/>
      <c r="H229" s="37"/>
      <c r="I229" s="37"/>
      <c r="J229" s="75">
        <f>M229</f>
        <v>0</v>
      </c>
      <c r="K229" s="35">
        <f>'1.05.'!M226</f>
        <v>0</v>
      </c>
      <c r="L229" s="35"/>
      <c r="M229" s="93">
        <f t="shared" ref="M229" si="129">K229+L229</f>
        <v>0</v>
      </c>
      <c r="N229" s="93">
        <f t="shared" ref="N229" si="130">I229-M229</f>
        <v>0</v>
      </c>
      <c r="O229" s="70" t="e">
        <f>M229/I229*100</f>
        <v>#DIV/0!</v>
      </c>
      <c r="P229" s="71">
        <f t="shared" si="125"/>
        <v>0</v>
      </c>
      <c r="Q229" s="35">
        <f t="shared" si="126"/>
        <v>0</v>
      </c>
      <c r="R229" s="72">
        <v>1103786</v>
      </c>
      <c r="S229" s="72">
        <f t="shared" si="127"/>
        <v>0</v>
      </c>
    </row>
    <row r="230" spans="1:20" s="73" customFormat="1" ht="38.25">
      <c r="A230" s="100"/>
      <c r="B230" s="17">
        <v>1267</v>
      </c>
      <c r="C230" s="8"/>
      <c r="D230" s="21"/>
      <c r="E230" s="21"/>
      <c r="F230" s="139" t="s">
        <v>126</v>
      </c>
      <c r="G230" s="42">
        <f>G231+G234+G254+G258+G277</f>
        <v>7960352</v>
      </c>
      <c r="H230" s="42">
        <f t="shared" ref="H230:N230" si="131">H231+H234+H254+H258+H277</f>
        <v>1647324.9000000001</v>
      </c>
      <c r="I230" s="42">
        <f t="shared" si="131"/>
        <v>1601834.2000000002</v>
      </c>
      <c r="J230" s="29">
        <f t="shared" si="131"/>
        <v>1639725.0262000002</v>
      </c>
      <c r="K230" s="29">
        <f>'1.02.'!M216</f>
        <v>60896.595510000006</v>
      </c>
      <c r="L230" s="42">
        <f t="shared" si="131"/>
        <v>409106.09233000001</v>
      </c>
      <c r="M230" s="29">
        <f t="shared" si="131"/>
        <v>1595549.4114399999</v>
      </c>
      <c r="N230" s="29">
        <f t="shared" si="131"/>
        <v>6284.7885600000254</v>
      </c>
      <c r="O230" s="68">
        <f t="shared" si="90"/>
        <v>99.607650494664171</v>
      </c>
      <c r="P230" s="35">
        <f t="shared" si="125"/>
        <v>44175.614760000259</v>
      </c>
      <c r="Q230" s="35">
        <f t="shared" si="126"/>
        <v>7599.873799999943</v>
      </c>
      <c r="R230" s="72">
        <v>1103787</v>
      </c>
      <c r="S230" s="72">
        <f t="shared" si="127"/>
        <v>6364802.5885600001</v>
      </c>
      <c r="T230" s="62">
        <f t="shared" si="86"/>
        <v>6320626.9737999998</v>
      </c>
    </row>
    <row r="231" spans="1:20" ht="25.5">
      <c r="A231" s="103"/>
      <c r="B231" s="8"/>
      <c r="C231" s="17" t="s">
        <v>28</v>
      </c>
      <c r="D231" s="21"/>
      <c r="E231" s="21"/>
      <c r="F231" s="125" t="s">
        <v>127</v>
      </c>
      <c r="G231" s="23">
        <f>G232</f>
        <v>19620</v>
      </c>
      <c r="H231" s="23">
        <f t="shared" ref="H231:O232" si="132">H232</f>
        <v>0</v>
      </c>
      <c r="I231" s="23">
        <f t="shared" si="132"/>
        <v>0</v>
      </c>
      <c r="J231" s="38">
        <f t="shared" si="132"/>
        <v>0</v>
      </c>
      <c r="K231" s="35">
        <f>'1.02.'!M217</f>
        <v>0</v>
      </c>
      <c r="L231" s="23">
        <f t="shared" si="132"/>
        <v>0</v>
      </c>
      <c r="M231" s="25">
        <f t="shared" si="132"/>
        <v>0</v>
      </c>
      <c r="N231" s="23">
        <f t="shared" si="132"/>
        <v>0</v>
      </c>
      <c r="O231" s="39" t="e">
        <f t="shared" si="132"/>
        <v>#DIV/0!</v>
      </c>
      <c r="P231" s="71">
        <f t="shared" si="125"/>
        <v>0</v>
      </c>
      <c r="Q231" s="35">
        <f>H231-J231</f>
        <v>0</v>
      </c>
      <c r="R231" s="72">
        <v>1103788</v>
      </c>
      <c r="S231" s="72">
        <f t="shared" si="127"/>
        <v>19620</v>
      </c>
    </row>
    <row r="232" spans="1:20">
      <c r="A232" s="100"/>
      <c r="B232" s="8"/>
      <c r="C232" s="8"/>
      <c r="D232" s="17" t="s">
        <v>7</v>
      </c>
      <c r="E232" s="10"/>
      <c r="F232" s="140" t="s">
        <v>85</v>
      </c>
      <c r="G232" s="59">
        <f>G233</f>
        <v>19620</v>
      </c>
      <c r="H232" s="59">
        <f t="shared" si="132"/>
        <v>0</v>
      </c>
      <c r="I232" s="59">
        <f t="shared" si="132"/>
        <v>0</v>
      </c>
      <c r="J232" s="59">
        <f t="shared" si="132"/>
        <v>0</v>
      </c>
      <c r="K232" s="35">
        <f>'1.02.'!M218</f>
        <v>0</v>
      </c>
      <c r="L232" s="59">
        <f t="shared" si="132"/>
        <v>0</v>
      </c>
      <c r="M232" s="59">
        <f t="shared" si="132"/>
        <v>0</v>
      </c>
      <c r="N232" s="59">
        <f t="shared" si="132"/>
        <v>0</v>
      </c>
      <c r="O232" s="68" t="e">
        <f>M232/I232*100</f>
        <v>#DIV/0!</v>
      </c>
      <c r="P232" s="71">
        <f t="shared" si="125"/>
        <v>0</v>
      </c>
      <c r="Q232" s="35">
        <f t="shared" si="126"/>
        <v>0</v>
      </c>
      <c r="R232" s="72">
        <v>1103789</v>
      </c>
      <c r="S232" s="72">
        <f t="shared" si="127"/>
        <v>19620</v>
      </c>
    </row>
    <row r="233" spans="1:20">
      <c r="A233" s="100"/>
      <c r="B233" s="9"/>
      <c r="C233" s="9"/>
      <c r="D233" s="69"/>
      <c r="E233" s="69">
        <v>159</v>
      </c>
      <c r="F233" s="136" t="s">
        <v>84</v>
      </c>
      <c r="G233" s="26">
        <v>19620</v>
      </c>
      <c r="H233" s="26"/>
      <c r="I233" s="26"/>
      <c r="J233" s="105">
        <f>M233</f>
        <v>0</v>
      </c>
      <c r="K233" s="35">
        <f>'1.02.'!M219</f>
        <v>0</v>
      </c>
      <c r="L233" s="27"/>
      <c r="M233" s="92">
        <f>K233+L233</f>
        <v>0</v>
      </c>
      <c r="N233" s="93">
        <f>I233-M233</f>
        <v>0</v>
      </c>
      <c r="O233" s="70" t="e">
        <f>M233/I233*100</f>
        <v>#DIV/0!</v>
      </c>
      <c r="P233" s="71">
        <f t="shared" si="125"/>
        <v>0</v>
      </c>
      <c r="Q233" s="35">
        <f t="shared" si="126"/>
        <v>0</v>
      </c>
      <c r="R233" s="72">
        <v>1103790</v>
      </c>
      <c r="S233" s="72">
        <f t="shared" si="127"/>
        <v>19620</v>
      </c>
    </row>
    <row r="234" spans="1:20" s="95" customFormat="1" ht="51">
      <c r="A234" s="100"/>
      <c r="B234" s="8"/>
      <c r="C234" s="17" t="s">
        <v>29</v>
      </c>
      <c r="D234" s="21"/>
      <c r="E234" s="21"/>
      <c r="F234" s="139" t="s">
        <v>128</v>
      </c>
      <c r="G234" s="59">
        <f>G235</f>
        <v>1078082</v>
      </c>
      <c r="H234" s="59">
        <f t="shared" ref="H234:N234" si="133">H235</f>
        <v>448473.2</v>
      </c>
      <c r="I234" s="59">
        <f t="shared" si="133"/>
        <v>411414.5</v>
      </c>
      <c r="J234" s="29">
        <f t="shared" si="133"/>
        <v>445684.5836800001</v>
      </c>
      <c r="K234" s="59">
        <f t="shared" si="133"/>
        <v>320286.12008000008</v>
      </c>
      <c r="L234" s="29">
        <f t="shared" si="133"/>
        <v>89047.106830000019</v>
      </c>
      <c r="M234" s="29">
        <f t="shared" si="133"/>
        <v>409333.22691000003</v>
      </c>
      <c r="N234" s="29">
        <f t="shared" si="133"/>
        <v>2081.2730899999733</v>
      </c>
      <c r="O234" s="68">
        <f>M234/I234*100</f>
        <v>99.494117710970329</v>
      </c>
      <c r="P234" s="71">
        <f t="shared" si="125"/>
        <v>36351.356770000071</v>
      </c>
      <c r="Q234" s="35">
        <f t="shared" si="126"/>
        <v>2788.6163199999137</v>
      </c>
      <c r="R234" s="72">
        <v>1103791</v>
      </c>
      <c r="S234" s="72">
        <f t="shared" si="127"/>
        <v>668748.77309000003</v>
      </c>
      <c r="T234" s="62">
        <f t="shared" si="86"/>
        <v>632397.41631999984</v>
      </c>
    </row>
    <row r="235" spans="1:20">
      <c r="A235" s="100"/>
      <c r="B235" s="8"/>
      <c r="C235" s="8"/>
      <c r="D235" s="17" t="s">
        <v>7</v>
      </c>
      <c r="E235" s="10"/>
      <c r="F235" s="140" t="s">
        <v>85</v>
      </c>
      <c r="G235" s="59">
        <f>SUM(G236:G253)</f>
        <v>1078082</v>
      </c>
      <c r="H235" s="59">
        <f>SUM(H236:H253)</f>
        <v>448473.2</v>
      </c>
      <c r="I235" s="59">
        <f t="shared" ref="I235:M235" si="134">SUM(I236:I253)</f>
        <v>411414.5</v>
      </c>
      <c r="J235" s="29">
        <f t="shared" si="134"/>
        <v>445684.5836800001</v>
      </c>
      <c r="K235" s="59">
        <f t="shared" si="134"/>
        <v>320286.12008000008</v>
      </c>
      <c r="L235" s="29">
        <f t="shared" si="134"/>
        <v>89047.106830000019</v>
      </c>
      <c r="M235" s="59">
        <f t="shared" si="134"/>
        <v>409333.22691000003</v>
      </c>
      <c r="N235" s="102">
        <f>I235-M235</f>
        <v>2081.2730899999733</v>
      </c>
      <c r="O235" s="68">
        <f>M235/I235*100</f>
        <v>99.494117710970329</v>
      </c>
      <c r="P235" s="71">
        <f t="shared" si="125"/>
        <v>36351.356770000071</v>
      </c>
      <c r="Q235" s="35">
        <f t="shared" si="126"/>
        <v>2788.6163199999137</v>
      </c>
      <c r="R235" s="72">
        <v>1103792</v>
      </c>
      <c r="S235" s="72">
        <f t="shared" si="127"/>
        <v>668748.77309000003</v>
      </c>
      <c r="T235" s="62">
        <f t="shared" ref="T235:T253" si="135">G235-J235</f>
        <v>632397.41631999984</v>
      </c>
    </row>
    <row r="236" spans="1:20">
      <c r="A236" s="100"/>
      <c r="B236" s="9"/>
      <c r="C236" s="9"/>
      <c r="D236" s="69"/>
      <c r="E236" s="69">
        <v>111</v>
      </c>
      <c r="F236" s="136" t="s">
        <v>86</v>
      </c>
      <c r="G236" s="26">
        <f>686021+106628</f>
        <v>792649</v>
      </c>
      <c r="H236" s="26">
        <v>310500</v>
      </c>
      <c r="I236" s="26">
        <v>310500</v>
      </c>
      <c r="J236" s="105">
        <f>M236</f>
        <v>310500</v>
      </c>
      <c r="K236" s="35">
        <f>'1.05.'!M233</f>
        <v>244000</v>
      </c>
      <c r="L236" s="27">
        <v>66500</v>
      </c>
      <c r="M236" s="92">
        <f t="shared" ref="M236:M263" si="136">K236+L236</f>
        <v>310500</v>
      </c>
      <c r="N236" s="93">
        <f>I236-M236</f>
        <v>0</v>
      </c>
      <c r="O236" s="70">
        <f t="shared" ref="O236:O253" si="137">M236/I236*100</f>
        <v>100</v>
      </c>
      <c r="P236" s="71">
        <f t="shared" si="125"/>
        <v>0</v>
      </c>
      <c r="Q236" s="35">
        <f t="shared" si="126"/>
        <v>0</v>
      </c>
      <c r="R236" s="72">
        <v>1103793</v>
      </c>
      <c r="S236" s="72">
        <f t="shared" si="127"/>
        <v>482149</v>
      </c>
      <c r="T236" s="62">
        <f t="shared" si="135"/>
        <v>482149</v>
      </c>
    </row>
    <row r="237" spans="1:20">
      <c r="A237" s="100"/>
      <c r="B237" s="9"/>
      <c r="C237" s="9"/>
      <c r="D237" s="69"/>
      <c r="E237" s="69">
        <v>112</v>
      </c>
      <c r="F237" s="136" t="s">
        <v>87</v>
      </c>
      <c r="G237" s="26">
        <v>5500</v>
      </c>
      <c r="H237" s="26">
        <v>5500</v>
      </c>
      <c r="I237" s="26">
        <v>5500</v>
      </c>
      <c r="J237" s="105">
        <f t="shared" ref="J237:J243" si="138">M237</f>
        <v>5500</v>
      </c>
      <c r="K237" s="35">
        <f>'1.05.'!M234</f>
        <v>5500</v>
      </c>
      <c r="L237" s="27"/>
      <c r="M237" s="92">
        <f t="shared" si="136"/>
        <v>5500</v>
      </c>
      <c r="N237" s="93">
        <f t="shared" ref="N237:N253" si="139">I237-M237</f>
        <v>0</v>
      </c>
      <c r="O237" s="70">
        <f t="shared" si="137"/>
        <v>100</v>
      </c>
      <c r="P237" s="71">
        <f t="shared" si="125"/>
        <v>0</v>
      </c>
      <c r="Q237" s="35">
        <f t="shared" si="126"/>
        <v>0</v>
      </c>
      <c r="R237" s="72">
        <v>1103794</v>
      </c>
      <c r="S237" s="72">
        <f t="shared" si="127"/>
        <v>0</v>
      </c>
    </row>
    <row r="238" spans="1:20">
      <c r="A238" s="100"/>
      <c r="B238" s="9"/>
      <c r="C238" s="9"/>
      <c r="D238" s="69"/>
      <c r="E238" s="76">
        <v>113</v>
      </c>
      <c r="F238" s="136" t="s">
        <v>88</v>
      </c>
      <c r="G238" s="26">
        <v>32776</v>
      </c>
      <c r="H238" s="26">
        <v>5727.2</v>
      </c>
      <c r="I238" s="26">
        <v>5727.2</v>
      </c>
      <c r="J238" s="105">
        <f t="shared" si="138"/>
        <v>5718.607</v>
      </c>
      <c r="K238" s="35">
        <f>'1.05.'!M235</f>
        <v>3697.9639999999999</v>
      </c>
      <c r="L238" s="27">
        <v>2020.643</v>
      </c>
      <c r="M238" s="92">
        <f t="shared" si="136"/>
        <v>5718.607</v>
      </c>
      <c r="N238" s="93">
        <f t="shared" si="139"/>
        <v>8.5929999999998472</v>
      </c>
      <c r="O238" s="70">
        <f t="shared" si="137"/>
        <v>99.849961586813805</v>
      </c>
      <c r="P238" s="71">
        <f t="shared" si="125"/>
        <v>0</v>
      </c>
      <c r="Q238" s="35">
        <f t="shared" si="126"/>
        <v>8.5929999999998472</v>
      </c>
      <c r="R238" s="72">
        <v>1103795</v>
      </c>
      <c r="S238" s="72">
        <f t="shared" si="127"/>
        <v>27057.393</v>
      </c>
      <c r="T238" s="62">
        <f t="shared" si="135"/>
        <v>27057.393</v>
      </c>
    </row>
    <row r="239" spans="1:20">
      <c r="A239" s="100"/>
      <c r="B239" s="9"/>
      <c r="C239" s="9"/>
      <c r="D239" s="69"/>
      <c r="E239" s="69">
        <v>116</v>
      </c>
      <c r="F239" s="136" t="s">
        <v>89</v>
      </c>
      <c r="G239" s="26">
        <f>24011+3925</f>
        <v>27936</v>
      </c>
      <c r="H239" s="26">
        <v>9394</v>
      </c>
      <c r="I239" s="26">
        <v>9394</v>
      </c>
      <c r="J239" s="105">
        <f t="shared" si="138"/>
        <v>9394</v>
      </c>
      <c r="K239" s="35">
        <f>'1.05.'!M236</f>
        <v>7066</v>
      </c>
      <c r="L239" s="27">
        <v>2328</v>
      </c>
      <c r="M239" s="92">
        <f>K239+L239</f>
        <v>9394</v>
      </c>
      <c r="N239" s="93">
        <f t="shared" si="139"/>
        <v>0</v>
      </c>
      <c r="O239" s="70">
        <f>M239/I239*100</f>
        <v>100</v>
      </c>
      <c r="P239" s="71">
        <f t="shared" si="125"/>
        <v>0</v>
      </c>
      <c r="Q239" s="35">
        <f t="shared" si="126"/>
        <v>0</v>
      </c>
      <c r="R239" s="72">
        <v>1103796</v>
      </c>
      <c r="S239" s="72">
        <f t="shared" si="127"/>
        <v>18542</v>
      </c>
    </row>
    <row r="240" spans="1:20">
      <c r="A240" s="100"/>
      <c r="B240" s="9"/>
      <c r="C240" s="9"/>
      <c r="D240" s="69"/>
      <c r="E240" s="69">
        <v>121</v>
      </c>
      <c r="F240" s="136" t="s">
        <v>90</v>
      </c>
      <c r="G240" s="26">
        <f>35536+5920</f>
        <v>41456</v>
      </c>
      <c r="H240" s="26">
        <v>14212</v>
      </c>
      <c r="I240" s="26">
        <v>14212</v>
      </c>
      <c r="J240" s="105">
        <f t="shared" si="138"/>
        <v>14212</v>
      </c>
      <c r="K240" s="35">
        <f>'1.05.'!M237</f>
        <v>10659</v>
      </c>
      <c r="L240" s="27">
        <v>3553</v>
      </c>
      <c r="M240" s="92">
        <f>K240+L240</f>
        <v>14212</v>
      </c>
      <c r="N240" s="93">
        <f t="shared" si="139"/>
        <v>0</v>
      </c>
      <c r="O240" s="70">
        <f>M240/I240*100</f>
        <v>100</v>
      </c>
      <c r="P240" s="71">
        <f t="shared" si="125"/>
        <v>0</v>
      </c>
      <c r="Q240" s="35">
        <f t="shared" si="126"/>
        <v>0</v>
      </c>
      <c r="R240" s="72">
        <v>1103797</v>
      </c>
      <c r="S240" s="72">
        <f t="shared" si="127"/>
        <v>27244</v>
      </c>
      <c r="T240" s="62">
        <f t="shared" si="135"/>
        <v>27244</v>
      </c>
    </row>
    <row r="241" spans="1:20" ht="25.5">
      <c r="A241" s="100"/>
      <c r="B241" s="9"/>
      <c r="C241" s="9"/>
      <c r="D241" s="69"/>
      <c r="E241" s="69">
        <v>122</v>
      </c>
      <c r="F241" s="136" t="s">
        <v>91</v>
      </c>
      <c r="G241" s="26">
        <f>30871+5046</f>
        <v>35917</v>
      </c>
      <c r="H241" s="26">
        <v>13918</v>
      </c>
      <c r="I241" s="26">
        <v>13918</v>
      </c>
      <c r="J241" s="105">
        <f t="shared" si="138"/>
        <v>13918</v>
      </c>
      <c r="K241" s="35">
        <f>'1.05.'!M238</f>
        <v>10831</v>
      </c>
      <c r="L241" s="27">
        <v>3087</v>
      </c>
      <c r="M241" s="92">
        <f t="shared" si="136"/>
        <v>13918</v>
      </c>
      <c r="N241" s="93">
        <f t="shared" si="139"/>
        <v>0</v>
      </c>
      <c r="O241" s="70">
        <f t="shared" si="137"/>
        <v>100</v>
      </c>
      <c r="P241" s="71">
        <f t="shared" si="125"/>
        <v>0</v>
      </c>
      <c r="Q241" s="35">
        <f t="shared" si="126"/>
        <v>0</v>
      </c>
      <c r="R241" s="72">
        <v>1103798</v>
      </c>
      <c r="S241" s="72">
        <f t="shared" si="127"/>
        <v>21999</v>
      </c>
      <c r="T241" s="62">
        <f t="shared" si="135"/>
        <v>21999</v>
      </c>
    </row>
    <row r="242" spans="1:20">
      <c r="A242" s="100"/>
      <c r="B242" s="9"/>
      <c r="C242" s="9"/>
      <c r="D242" s="69"/>
      <c r="E242" s="69">
        <v>123</v>
      </c>
      <c r="F242" s="136" t="s">
        <v>92</v>
      </c>
      <c r="G242" s="26">
        <v>342</v>
      </c>
      <c r="H242" s="26">
        <v>35</v>
      </c>
      <c r="I242" s="26">
        <v>35</v>
      </c>
      <c r="J242" s="105">
        <f t="shared" si="138"/>
        <v>29.271999999999998</v>
      </c>
      <c r="K242" s="35">
        <f>'1.05.'!M239</f>
        <v>0</v>
      </c>
      <c r="L242" s="27">
        <v>29.271999999999998</v>
      </c>
      <c r="M242" s="92">
        <f t="shared" si="136"/>
        <v>29.271999999999998</v>
      </c>
      <c r="N242" s="93">
        <f t="shared" si="139"/>
        <v>5.7280000000000015</v>
      </c>
      <c r="O242" s="70">
        <f t="shared" si="137"/>
        <v>83.63428571428571</v>
      </c>
      <c r="P242" s="71">
        <f t="shared" si="125"/>
        <v>0</v>
      </c>
      <c r="Q242" s="35">
        <f t="shared" si="126"/>
        <v>5.7280000000000015</v>
      </c>
      <c r="R242" s="72">
        <v>1103799</v>
      </c>
      <c r="S242" s="72">
        <f t="shared" si="127"/>
        <v>312.72800000000001</v>
      </c>
    </row>
    <row r="243" spans="1:20">
      <c r="A243" s="100"/>
      <c r="B243" s="9"/>
      <c r="C243" s="9"/>
      <c r="D243" s="69"/>
      <c r="E243" s="69">
        <v>124</v>
      </c>
      <c r="F243" s="136" t="s">
        <v>93</v>
      </c>
      <c r="G243" s="26">
        <f>20581+3364</f>
        <v>23945</v>
      </c>
      <c r="H243" s="26">
        <v>7980</v>
      </c>
      <c r="I243" s="26">
        <v>7980</v>
      </c>
      <c r="J243" s="105">
        <f t="shared" si="138"/>
        <v>7980</v>
      </c>
      <c r="K243" s="35">
        <f>'1.05.'!M240</f>
        <v>5985</v>
      </c>
      <c r="L243" s="27">
        <v>1995</v>
      </c>
      <c r="M243" s="92">
        <f t="shared" si="136"/>
        <v>7980</v>
      </c>
      <c r="N243" s="93">
        <f t="shared" si="139"/>
        <v>0</v>
      </c>
      <c r="O243" s="70">
        <f t="shared" si="137"/>
        <v>100</v>
      </c>
      <c r="P243" s="71">
        <f t="shared" si="125"/>
        <v>0</v>
      </c>
      <c r="Q243" s="35">
        <f t="shared" si="126"/>
        <v>0</v>
      </c>
      <c r="R243" s="72">
        <v>1103800</v>
      </c>
      <c r="S243" s="72">
        <f t="shared" si="127"/>
        <v>15965</v>
      </c>
      <c r="T243" s="62">
        <f t="shared" si="135"/>
        <v>15965</v>
      </c>
    </row>
    <row r="244" spans="1:20">
      <c r="A244" s="100"/>
      <c r="B244" s="9"/>
      <c r="C244" s="9"/>
      <c r="D244" s="69"/>
      <c r="E244" s="69">
        <v>144</v>
      </c>
      <c r="F244" s="136" t="s">
        <v>97</v>
      </c>
      <c r="G244" s="26">
        <f>9873-951.9</f>
        <v>8921.1</v>
      </c>
      <c r="H244" s="26">
        <v>8921.1</v>
      </c>
      <c r="I244" s="26">
        <v>7888.2</v>
      </c>
      <c r="J244" s="105">
        <v>8921.0878400000001</v>
      </c>
      <c r="K244" s="35">
        <f>'1.05.'!M241</f>
        <v>7888.0278399999997</v>
      </c>
      <c r="L244" s="27"/>
      <c r="M244" s="92">
        <f t="shared" si="136"/>
        <v>7888.0278399999997</v>
      </c>
      <c r="N244" s="93">
        <f t="shared" si="139"/>
        <v>0.17216000000007625</v>
      </c>
      <c r="O244" s="70">
        <f t="shared" si="137"/>
        <v>99.997817499556291</v>
      </c>
      <c r="P244" s="71">
        <f t="shared" si="125"/>
        <v>1033.0600000000004</v>
      </c>
      <c r="Q244" s="35">
        <f t="shared" si="126"/>
        <v>1.2160000000221771E-2</v>
      </c>
      <c r="R244" s="72">
        <v>1103801</v>
      </c>
      <c r="S244" s="72">
        <f t="shared" si="127"/>
        <v>1033.0721600000006</v>
      </c>
      <c r="T244" s="62">
        <f t="shared" si="135"/>
        <v>1.2160000000221771E-2</v>
      </c>
    </row>
    <row r="245" spans="1:20">
      <c r="A245" s="100"/>
      <c r="B245" s="9"/>
      <c r="C245" s="9"/>
      <c r="D245" s="69"/>
      <c r="E245" s="69">
        <v>149</v>
      </c>
      <c r="F245" s="136" t="s">
        <v>98</v>
      </c>
      <c r="G245" s="26">
        <v>21813</v>
      </c>
      <c r="H245" s="26">
        <v>4179</v>
      </c>
      <c r="I245" s="26">
        <v>4179</v>
      </c>
      <c r="J245" s="105">
        <v>3092.6606099999999</v>
      </c>
      <c r="K245" s="35">
        <f>'1.05.'!M242</f>
        <v>2279.88042</v>
      </c>
      <c r="L245" s="27">
        <v>576.14018999999996</v>
      </c>
      <c r="M245" s="92">
        <f t="shared" si="136"/>
        <v>2856.02061</v>
      </c>
      <c r="N245" s="93">
        <f t="shared" si="139"/>
        <v>1322.97939</v>
      </c>
      <c r="O245" s="70">
        <f t="shared" si="137"/>
        <v>68.342201722900214</v>
      </c>
      <c r="P245" s="71">
        <f t="shared" si="125"/>
        <v>236.63999999999987</v>
      </c>
      <c r="Q245" s="35">
        <f t="shared" si="126"/>
        <v>1086.3393900000001</v>
      </c>
      <c r="R245" s="72">
        <v>1103802</v>
      </c>
      <c r="S245" s="72">
        <f t="shared" si="127"/>
        <v>18956.97939</v>
      </c>
      <c r="T245" s="62">
        <f t="shared" si="135"/>
        <v>18720.339390000001</v>
      </c>
    </row>
    <row r="246" spans="1:20">
      <c r="A246" s="100"/>
      <c r="B246" s="9"/>
      <c r="C246" s="9"/>
      <c r="D246" s="69"/>
      <c r="E246" s="69">
        <v>151</v>
      </c>
      <c r="F246" s="136" t="s">
        <v>99</v>
      </c>
      <c r="G246" s="26">
        <v>10168</v>
      </c>
      <c r="H246" s="26">
        <v>6836</v>
      </c>
      <c r="I246" s="26">
        <v>6836</v>
      </c>
      <c r="J246" s="105">
        <f>M246</f>
        <v>6092.2334600000004</v>
      </c>
      <c r="K246" s="35">
        <f>'1.05.'!M243</f>
        <v>5376.3804900000005</v>
      </c>
      <c r="L246" s="27">
        <v>715.85297000000003</v>
      </c>
      <c r="M246" s="92">
        <f t="shared" si="136"/>
        <v>6092.2334600000004</v>
      </c>
      <c r="N246" s="93">
        <f t="shared" si="139"/>
        <v>743.76653999999962</v>
      </c>
      <c r="O246" s="70">
        <f t="shared" si="137"/>
        <v>89.119857519016975</v>
      </c>
      <c r="P246" s="71">
        <f t="shared" si="125"/>
        <v>0</v>
      </c>
      <c r="Q246" s="35">
        <f t="shared" si="126"/>
        <v>743.76653999999962</v>
      </c>
      <c r="R246" s="72">
        <v>1103803</v>
      </c>
      <c r="S246" s="72">
        <f t="shared" si="127"/>
        <v>4075.7665399999996</v>
      </c>
      <c r="T246" s="62">
        <f t="shared" si="135"/>
        <v>4075.7665399999996</v>
      </c>
    </row>
    <row r="247" spans="1:20">
      <c r="A247" s="100"/>
      <c r="B247" s="9"/>
      <c r="C247" s="9"/>
      <c r="D247" s="69"/>
      <c r="E247" s="69">
        <v>152</v>
      </c>
      <c r="F247" s="136" t="s">
        <v>100</v>
      </c>
      <c r="G247" s="26">
        <f>34000-419.4</f>
        <v>33580.6</v>
      </c>
      <c r="H247" s="26">
        <v>31008.9</v>
      </c>
      <c r="I247" s="26">
        <v>10763.8</v>
      </c>
      <c r="J247" s="105">
        <v>31008.889520000001</v>
      </c>
      <c r="K247" s="35">
        <f>'1.05.'!M244</f>
        <v>8286.7513299999991</v>
      </c>
      <c r="L247" s="27">
        <v>2477.0486700000001</v>
      </c>
      <c r="M247" s="92">
        <f t="shared" si="136"/>
        <v>10763.8</v>
      </c>
      <c r="N247" s="93">
        <f t="shared" si="139"/>
        <v>0</v>
      </c>
      <c r="O247" s="70">
        <f t="shared" si="137"/>
        <v>100</v>
      </c>
      <c r="P247" s="71">
        <f t="shared" si="125"/>
        <v>20245.089520000001</v>
      </c>
      <c r="Q247" s="35">
        <f t="shared" si="126"/>
        <v>1.0480000000825385E-2</v>
      </c>
      <c r="R247" s="72">
        <v>1103804</v>
      </c>
      <c r="S247" s="72">
        <f t="shared" si="127"/>
        <v>22816.799999999999</v>
      </c>
      <c r="T247" s="62">
        <f t="shared" si="135"/>
        <v>2571.7104799999979</v>
      </c>
    </row>
    <row r="248" spans="1:20" ht="25.5">
      <c r="A248" s="100"/>
      <c r="B248" s="9"/>
      <c r="C248" s="9"/>
      <c r="D248" s="69"/>
      <c r="E248" s="69">
        <v>158</v>
      </c>
      <c r="F248" s="136" t="s">
        <v>101</v>
      </c>
      <c r="G248" s="26">
        <v>3657</v>
      </c>
      <c r="H248" s="26">
        <v>3987.7</v>
      </c>
      <c r="I248" s="26">
        <v>1330.3</v>
      </c>
      <c r="J248" s="105">
        <v>3987.6156000000001</v>
      </c>
      <c r="K248" s="35">
        <f>'1.05.'!M245</f>
        <v>914.25</v>
      </c>
      <c r="L248" s="27">
        <v>416.05</v>
      </c>
      <c r="M248" s="92">
        <f t="shared" si="136"/>
        <v>1330.3</v>
      </c>
      <c r="N248" s="93">
        <f t="shared" si="139"/>
        <v>0</v>
      </c>
      <c r="O248" s="70">
        <f t="shared" si="137"/>
        <v>100</v>
      </c>
      <c r="P248" s="71">
        <f t="shared" si="125"/>
        <v>2657.3155999999999</v>
      </c>
      <c r="Q248" s="35">
        <f t="shared" si="126"/>
        <v>8.4399999999732245E-2</v>
      </c>
      <c r="R248" s="72">
        <v>1103805</v>
      </c>
      <c r="S248" s="72">
        <f t="shared" si="127"/>
        <v>2326.6999999999998</v>
      </c>
      <c r="T248" s="62">
        <f t="shared" si="135"/>
        <v>-330.61560000000009</v>
      </c>
    </row>
    <row r="249" spans="1:20">
      <c r="A249" s="100"/>
      <c r="B249" s="9"/>
      <c r="C249" s="9"/>
      <c r="D249" s="69"/>
      <c r="E249" s="69">
        <v>159</v>
      </c>
      <c r="F249" s="136" t="s">
        <v>84</v>
      </c>
      <c r="G249" s="26">
        <f>28010+419.4+899.9</f>
        <v>29329.300000000003</v>
      </c>
      <c r="H249" s="26">
        <v>22572.3</v>
      </c>
      <c r="I249" s="26">
        <v>9449</v>
      </c>
      <c r="J249" s="105">
        <v>21628.251649999998</v>
      </c>
      <c r="K249" s="35">
        <f>'1.05.'!M246</f>
        <v>4799.8999999999996</v>
      </c>
      <c r="L249" s="27">
        <v>4649.1000000000004</v>
      </c>
      <c r="M249" s="92">
        <f t="shared" si="136"/>
        <v>9449</v>
      </c>
      <c r="N249" s="93">
        <f t="shared" si="139"/>
        <v>0</v>
      </c>
      <c r="O249" s="70">
        <f t="shared" si="137"/>
        <v>100</v>
      </c>
      <c r="P249" s="71">
        <f t="shared" si="125"/>
        <v>12179.251649999998</v>
      </c>
      <c r="Q249" s="35">
        <f t="shared" si="126"/>
        <v>944.04835000000094</v>
      </c>
      <c r="R249" s="72">
        <v>1103806</v>
      </c>
      <c r="S249" s="72">
        <f t="shared" si="127"/>
        <v>19880.300000000003</v>
      </c>
      <c r="T249" s="62">
        <f t="shared" si="135"/>
        <v>7701.0483500000046</v>
      </c>
    </row>
    <row r="250" spans="1:20">
      <c r="A250" s="100"/>
      <c r="B250" s="9"/>
      <c r="C250" s="9"/>
      <c r="D250" s="69"/>
      <c r="E250" s="69">
        <v>161</v>
      </c>
      <c r="F250" s="136" t="s">
        <v>102</v>
      </c>
      <c r="G250" s="26">
        <f>9868+50</f>
        <v>9918</v>
      </c>
      <c r="H250" s="26">
        <v>3650</v>
      </c>
      <c r="I250" s="26">
        <v>3650</v>
      </c>
      <c r="J250" s="105">
        <f t="shared" ref="J250:J253" si="140">M250</f>
        <v>3650</v>
      </c>
      <c r="K250" s="35">
        <f>'1.05.'!M247</f>
        <v>2950</v>
      </c>
      <c r="L250" s="27">
        <v>700</v>
      </c>
      <c r="M250" s="92">
        <f t="shared" si="136"/>
        <v>3650</v>
      </c>
      <c r="N250" s="93">
        <f t="shared" si="139"/>
        <v>0</v>
      </c>
      <c r="O250" s="70">
        <f t="shared" si="137"/>
        <v>100</v>
      </c>
      <c r="P250" s="71">
        <f t="shared" si="125"/>
        <v>0</v>
      </c>
      <c r="Q250" s="35">
        <f t="shared" si="126"/>
        <v>0</v>
      </c>
      <c r="R250" s="72">
        <v>1103807</v>
      </c>
      <c r="S250" s="72">
        <f t="shared" si="127"/>
        <v>6268</v>
      </c>
      <c r="T250" s="62">
        <f t="shared" si="135"/>
        <v>6268</v>
      </c>
    </row>
    <row r="251" spans="1:20">
      <c r="A251" s="100"/>
      <c r="B251" s="9"/>
      <c r="C251" s="9"/>
      <c r="D251" s="69"/>
      <c r="E251" s="69">
        <v>165</v>
      </c>
      <c r="F251" s="3" t="s">
        <v>168</v>
      </c>
      <c r="G251" s="26">
        <v>50</v>
      </c>
      <c r="H251" s="26">
        <v>50</v>
      </c>
      <c r="I251" s="26">
        <v>50</v>
      </c>
      <c r="J251" s="105">
        <f t="shared" si="140"/>
        <v>50</v>
      </c>
      <c r="K251" s="35">
        <f>'1.05.'!M248</f>
        <v>50</v>
      </c>
      <c r="L251" s="27"/>
      <c r="M251" s="92">
        <f t="shared" si="136"/>
        <v>50</v>
      </c>
      <c r="N251" s="93">
        <f t="shared" si="139"/>
        <v>0</v>
      </c>
      <c r="O251" s="70">
        <f t="shared" si="137"/>
        <v>100</v>
      </c>
      <c r="P251" s="71">
        <f t="shared" si="125"/>
        <v>0</v>
      </c>
      <c r="Q251" s="35">
        <f t="shared" si="126"/>
        <v>0</v>
      </c>
      <c r="R251" s="72">
        <v>1103808</v>
      </c>
      <c r="S251" s="72">
        <f t="shared" si="127"/>
        <v>0</v>
      </c>
    </row>
    <row r="252" spans="1:20">
      <c r="A252" s="100"/>
      <c r="B252" s="9"/>
      <c r="C252" s="9"/>
      <c r="D252" s="69"/>
      <c r="E252" s="69">
        <v>168</v>
      </c>
      <c r="F252" s="136" t="s">
        <v>167</v>
      </c>
      <c r="G252" s="26">
        <f>102+2</f>
        <v>104</v>
      </c>
      <c r="H252" s="26">
        <v>2</v>
      </c>
      <c r="I252" s="26">
        <v>2</v>
      </c>
      <c r="J252" s="105">
        <f t="shared" si="140"/>
        <v>1.966</v>
      </c>
      <c r="K252" s="35">
        <f>'1.05.'!M249</f>
        <v>1.966</v>
      </c>
      <c r="L252" s="27"/>
      <c r="M252" s="92">
        <f t="shared" si="136"/>
        <v>1.966</v>
      </c>
      <c r="N252" s="93">
        <f t="shared" si="139"/>
        <v>3.400000000000003E-2</v>
      </c>
      <c r="O252" s="70">
        <f t="shared" si="137"/>
        <v>98.3</v>
      </c>
      <c r="P252" s="71">
        <f t="shared" si="125"/>
        <v>0</v>
      </c>
      <c r="Q252" s="35">
        <f t="shared" si="126"/>
        <v>3.400000000000003E-2</v>
      </c>
      <c r="R252" s="72">
        <v>1103809</v>
      </c>
      <c r="S252" s="72">
        <f t="shared" si="127"/>
        <v>102.03400000000001</v>
      </c>
    </row>
    <row r="253" spans="1:20">
      <c r="A253" s="100"/>
      <c r="B253" s="9"/>
      <c r="C253" s="9"/>
      <c r="D253" s="69"/>
      <c r="E253" s="69">
        <v>169</v>
      </c>
      <c r="F253" s="136" t="s">
        <v>103</v>
      </c>
      <c r="G253" s="26">
        <f>172-102-50</f>
        <v>20</v>
      </c>
      <c r="H253" s="26"/>
      <c r="I253" s="26"/>
      <c r="J253" s="105">
        <f t="shared" si="140"/>
        <v>0</v>
      </c>
      <c r="K253" s="35">
        <f>'1.05.'!M250</f>
        <v>0</v>
      </c>
      <c r="L253" s="27"/>
      <c r="M253" s="92">
        <f>K253+L253</f>
        <v>0</v>
      </c>
      <c r="N253" s="93">
        <f t="shared" si="139"/>
        <v>0</v>
      </c>
      <c r="O253" s="70" t="e">
        <f t="shared" si="137"/>
        <v>#DIV/0!</v>
      </c>
      <c r="P253" s="71">
        <f t="shared" si="125"/>
        <v>0</v>
      </c>
      <c r="Q253" s="35">
        <f t="shared" si="126"/>
        <v>0</v>
      </c>
      <c r="R253" s="72">
        <v>1103808</v>
      </c>
      <c r="S253" s="72">
        <f t="shared" si="127"/>
        <v>20</v>
      </c>
      <c r="T253" s="62">
        <f t="shared" si="135"/>
        <v>20</v>
      </c>
    </row>
    <row r="254" spans="1:20" ht="25.5">
      <c r="A254" s="100"/>
      <c r="B254" s="15"/>
      <c r="C254" s="57" t="s">
        <v>43</v>
      </c>
      <c r="D254" s="16"/>
      <c r="E254" s="20"/>
      <c r="F254" s="139" t="s">
        <v>119</v>
      </c>
      <c r="G254" s="59">
        <f t="shared" ref="G254:N254" si="141">G255</f>
        <v>3430</v>
      </c>
      <c r="H254" s="59">
        <f t="shared" si="141"/>
        <v>3430</v>
      </c>
      <c r="I254" s="59">
        <f t="shared" si="141"/>
        <v>0</v>
      </c>
      <c r="J254" s="29">
        <f t="shared" si="141"/>
        <v>129.25800000000001</v>
      </c>
      <c r="K254" s="35">
        <f>'1.02.'!M238</f>
        <v>0</v>
      </c>
      <c r="L254" s="29">
        <f t="shared" si="141"/>
        <v>0</v>
      </c>
      <c r="M254" s="29">
        <f t="shared" si="141"/>
        <v>0</v>
      </c>
      <c r="N254" s="29">
        <f t="shared" si="141"/>
        <v>0</v>
      </c>
      <c r="O254" s="70"/>
      <c r="P254" s="71">
        <f t="shared" si="125"/>
        <v>129.25800000000001</v>
      </c>
      <c r="Q254" s="35">
        <f t="shared" si="126"/>
        <v>3300.7420000000002</v>
      </c>
      <c r="R254" s="72">
        <v>1103809</v>
      </c>
      <c r="S254" s="72">
        <f t="shared" si="127"/>
        <v>3430</v>
      </c>
    </row>
    <row r="255" spans="1:20">
      <c r="A255" s="9"/>
      <c r="B255" s="12"/>
      <c r="C255" s="12"/>
      <c r="D255" s="11" t="s">
        <v>7</v>
      </c>
      <c r="E255" s="97"/>
      <c r="F255" s="122" t="s">
        <v>85</v>
      </c>
      <c r="G255" s="98">
        <f>G256+G257</f>
        <v>3430</v>
      </c>
      <c r="H255" s="98">
        <f t="shared" ref="H255:N255" si="142">H256+H257</f>
        <v>3430</v>
      </c>
      <c r="I255" s="98">
        <f t="shared" si="142"/>
        <v>0</v>
      </c>
      <c r="J255" s="98">
        <f t="shared" si="142"/>
        <v>129.25800000000001</v>
      </c>
      <c r="K255" s="35">
        <f>'1.02.'!M239</f>
        <v>0</v>
      </c>
      <c r="L255" s="32">
        <f t="shared" si="142"/>
        <v>0</v>
      </c>
      <c r="M255" s="32">
        <f t="shared" si="142"/>
        <v>0</v>
      </c>
      <c r="N255" s="32">
        <f t="shared" si="142"/>
        <v>0</v>
      </c>
      <c r="O255" s="68" t="e">
        <f>M255/I255*100</f>
        <v>#DIV/0!</v>
      </c>
      <c r="P255" s="71">
        <f t="shared" si="125"/>
        <v>129.25800000000001</v>
      </c>
      <c r="Q255" s="35">
        <f t="shared" si="126"/>
        <v>3300.7420000000002</v>
      </c>
      <c r="R255" s="72">
        <v>1103810</v>
      </c>
      <c r="S255" s="72">
        <f t="shared" si="127"/>
        <v>3430</v>
      </c>
      <c r="T255" s="62">
        <f>G255-J255</f>
        <v>3300.7420000000002</v>
      </c>
    </row>
    <row r="256" spans="1:20" ht="25.5">
      <c r="A256" s="100"/>
      <c r="B256" s="15"/>
      <c r="C256" s="15"/>
      <c r="D256" s="16"/>
      <c r="E256" s="20">
        <v>414</v>
      </c>
      <c r="F256" s="50" t="s">
        <v>105</v>
      </c>
      <c r="G256" s="37">
        <f>3430-1089.3</f>
        <v>2340.6999999999998</v>
      </c>
      <c r="H256" s="37">
        <v>2340.6999999999998</v>
      </c>
      <c r="I256" s="37"/>
      <c r="J256" s="75">
        <v>129.25800000000001</v>
      </c>
      <c r="K256" s="35">
        <f>'1.02.'!M240</f>
        <v>0</v>
      </c>
      <c r="L256" s="35"/>
      <c r="M256" s="93">
        <f>K256+L256</f>
        <v>0</v>
      </c>
      <c r="N256" s="93">
        <f t="shared" ref="N256:N257" si="143">I256-M256</f>
        <v>0</v>
      </c>
      <c r="O256" s="70" t="e">
        <f t="shared" ref="O256:O257" si="144">M256/I256*100</f>
        <v>#DIV/0!</v>
      </c>
      <c r="P256" s="71">
        <f t="shared" si="125"/>
        <v>129.25800000000001</v>
      </c>
      <c r="Q256" s="35">
        <f t="shared" si="126"/>
        <v>2211.442</v>
      </c>
      <c r="R256" s="72">
        <v>1103811</v>
      </c>
      <c r="S256" s="72">
        <f t="shared" si="127"/>
        <v>2340.6999999999998</v>
      </c>
    </row>
    <row r="257" spans="1:20">
      <c r="A257" s="100"/>
      <c r="B257" s="15"/>
      <c r="C257" s="15"/>
      <c r="D257" s="16"/>
      <c r="E257" s="20">
        <v>416</v>
      </c>
      <c r="F257" s="3" t="s">
        <v>57</v>
      </c>
      <c r="G257" s="37">
        <v>1089.3</v>
      </c>
      <c r="H257" s="37">
        <v>1089.3</v>
      </c>
      <c r="I257" s="37"/>
      <c r="J257" s="75">
        <f>M257</f>
        <v>0</v>
      </c>
      <c r="K257" s="35">
        <f>'1.02.'!M241</f>
        <v>0</v>
      </c>
      <c r="L257" s="35"/>
      <c r="M257" s="92">
        <f>K257+L257</f>
        <v>0</v>
      </c>
      <c r="N257" s="93">
        <f t="shared" si="143"/>
        <v>0</v>
      </c>
      <c r="O257" s="70" t="e">
        <f t="shared" si="144"/>
        <v>#DIV/0!</v>
      </c>
      <c r="P257" s="71">
        <f t="shared" si="125"/>
        <v>0</v>
      </c>
      <c r="Q257" s="35">
        <f t="shared" si="126"/>
        <v>1089.3</v>
      </c>
      <c r="R257" s="72">
        <v>1103812</v>
      </c>
      <c r="S257" s="72">
        <f t="shared" si="127"/>
        <v>1089.3</v>
      </c>
    </row>
    <row r="258" spans="1:20" s="73" customFormat="1">
      <c r="A258" s="103"/>
      <c r="B258" s="8"/>
      <c r="C258" s="17" t="s">
        <v>30</v>
      </c>
      <c r="D258" s="21"/>
      <c r="E258" s="21"/>
      <c r="F258" s="139" t="s">
        <v>129</v>
      </c>
      <c r="G258" s="23">
        <f>G259+G261+G264</f>
        <v>6848792</v>
      </c>
      <c r="H258" s="23">
        <f>H259+H261+H264</f>
        <v>1191529.7000000002</v>
      </c>
      <c r="I258" s="23">
        <f t="shared" ref="I258:N258" si="145">I259+I261+I264</f>
        <v>1186527.7000000002</v>
      </c>
      <c r="J258" s="24">
        <f t="shared" si="145"/>
        <v>1191316.1845200001</v>
      </c>
      <c r="K258" s="24">
        <f t="shared" si="145"/>
        <v>864859.69903000002</v>
      </c>
      <c r="L258" s="24">
        <f t="shared" si="145"/>
        <v>318761.48550000001</v>
      </c>
      <c r="M258" s="24">
        <f t="shared" si="145"/>
        <v>1183621.18453</v>
      </c>
      <c r="N258" s="24">
        <f t="shared" si="145"/>
        <v>2906.5154700000521</v>
      </c>
      <c r="O258" s="68">
        <f>M258/I258*100</f>
        <v>99.755040234627458</v>
      </c>
      <c r="P258" s="71">
        <f t="shared" si="125"/>
        <v>7694.9999900001567</v>
      </c>
      <c r="Q258" s="35">
        <f t="shared" si="126"/>
        <v>213.51548000006005</v>
      </c>
      <c r="R258" s="72">
        <v>1103813</v>
      </c>
      <c r="S258" s="72">
        <f t="shared" si="127"/>
        <v>5665170.8154699998</v>
      </c>
      <c r="T258" s="62">
        <f t="shared" ref="T258:T285" si="146">G258-J258</f>
        <v>5657475.8154799994</v>
      </c>
    </row>
    <row r="259" spans="1:20">
      <c r="A259" s="100"/>
      <c r="B259" s="8"/>
      <c r="C259" s="8"/>
      <c r="D259" s="17" t="s">
        <v>31</v>
      </c>
      <c r="E259" s="10"/>
      <c r="F259" s="140" t="s">
        <v>130</v>
      </c>
      <c r="G259" s="59">
        <f>G260</f>
        <v>2827602</v>
      </c>
      <c r="H259" s="59">
        <f t="shared" ref="H259:N259" si="147">H260</f>
        <v>353866</v>
      </c>
      <c r="I259" s="59">
        <f t="shared" si="147"/>
        <v>353866</v>
      </c>
      <c r="J259" s="59">
        <f t="shared" si="147"/>
        <v>353866</v>
      </c>
      <c r="K259" s="29">
        <f t="shared" si="147"/>
        <v>231630</v>
      </c>
      <c r="L259" s="29">
        <f t="shared" si="147"/>
        <v>122236</v>
      </c>
      <c r="M259" s="29">
        <f t="shared" si="147"/>
        <v>353866</v>
      </c>
      <c r="N259" s="33">
        <f t="shared" si="147"/>
        <v>0</v>
      </c>
      <c r="O259" s="68">
        <f t="shared" ref="O259:O275" si="148">M259/I259*100</f>
        <v>100</v>
      </c>
      <c r="P259" s="71">
        <f t="shared" si="125"/>
        <v>0</v>
      </c>
      <c r="Q259" s="35">
        <f t="shared" si="126"/>
        <v>0</v>
      </c>
      <c r="R259" s="72">
        <v>1103814</v>
      </c>
      <c r="S259" s="72">
        <f t="shared" si="127"/>
        <v>2473736</v>
      </c>
      <c r="T259" s="62">
        <f t="shared" si="146"/>
        <v>2473736</v>
      </c>
    </row>
    <row r="260" spans="1:20">
      <c r="A260" s="100"/>
      <c r="B260" s="9"/>
      <c r="C260" s="9"/>
      <c r="D260" s="69"/>
      <c r="E260" s="69">
        <v>159</v>
      </c>
      <c r="F260" s="136" t="s">
        <v>84</v>
      </c>
      <c r="G260" s="26">
        <f>3730007-768592-133813</f>
        <v>2827602</v>
      </c>
      <c r="H260" s="26">
        <v>353866</v>
      </c>
      <c r="I260" s="26">
        <v>353866</v>
      </c>
      <c r="J260" s="105">
        <f>M260</f>
        <v>353866</v>
      </c>
      <c r="K260" s="35">
        <f>'1.05.'!M257</f>
        <v>231630</v>
      </c>
      <c r="L260" s="27">
        <v>122236</v>
      </c>
      <c r="M260" s="92">
        <f t="shared" si="136"/>
        <v>353866</v>
      </c>
      <c r="N260" s="93">
        <f t="shared" ref="N260" si="149">I260-M260</f>
        <v>0</v>
      </c>
      <c r="O260" s="70">
        <f t="shared" si="148"/>
        <v>100</v>
      </c>
      <c r="P260" s="71">
        <f t="shared" si="125"/>
        <v>0</v>
      </c>
      <c r="Q260" s="35">
        <f t="shared" si="126"/>
        <v>0</v>
      </c>
      <c r="R260" s="72">
        <v>1103815</v>
      </c>
      <c r="S260" s="72">
        <f t="shared" si="127"/>
        <v>2473736</v>
      </c>
      <c r="T260" s="62">
        <f t="shared" si="146"/>
        <v>2473736</v>
      </c>
    </row>
    <row r="261" spans="1:20">
      <c r="A261" s="100"/>
      <c r="B261" s="8"/>
      <c r="C261" s="8"/>
      <c r="D261" s="17" t="s">
        <v>32</v>
      </c>
      <c r="E261" s="10"/>
      <c r="F261" s="140" t="s">
        <v>131</v>
      </c>
      <c r="G261" s="59">
        <f>G262+G263</f>
        <v>77035</v>
      </c>
      <c r="H261" s="59">
        <f t="shared" ref="H261:N261" si="150">H262+H263</f>
        <v>9848</v>
      </c>
      <c r="I261" s="59">
        <f t="shared" si="150"/>
        <v>4846</v>
      </c>
      <c r="J261" s="29">
        <f t="shared" si="150"/>
        <v>9634.7354900000009</v>
      </c>
      <c r="K261" s="59">
        <f t="shared" si="150"/>
        <v>0</v>
      </c>
      <c r="L261" s="59">
        <f t="shared" si="150"/>
        <v>1939.7355</v>
      </c>
      <c r="M261" s="59">
        <f t="shared" si="150"/>
        <v>1939.7355</v>
      </c>
      <c r="N261" s="29">
        <f t="shared" si="150"/>
        <v>2906.2645000000002</v>
      </c>
      <c r="O261" s="68">
        <f t="shared" ref="O261" si="151">O262</f>
        <v>0</v>
      </c>
      <c r="P261" s="71">
        <f t="shared" si="125"/>
        <v>7694.9999900000012</v>
      </c>
      <c r="Q261" s="35">
        <f t="shared" si="126"/>
        <v>213.26450999999906</v>
      </c>
      <c r="R261" s="72">
        <v>1103816</v>
      </c>
      <c r="S261" s="72">
        <f t="shared" si="127"/>
        <v>75095.264500000005</v>
      </c>
      <c r="T261" s="62">
        <f t="shared" si="146"/>
        <v>67400.264509999994</v>
      </c>
    </row>
    <row r="262" spans="1:20">
      <c r="A262" s="100"/>
      <c r="B262" s="9"/>
      <c r="C262" s="9"/>
      <c r="D262" s="69"/>
      <c r="E262" s="69">
        <v>159</v>
      </c>
      <c r="F262" s="136" t="s">
        <v>84</v>
      </c>
      <c r="G262" s="26">
        <f>32846+12909</f>
        <v>45755</v>
      </c>
      <c r="H262" s="26">
        <v>7695</v>
      </c>
      <c r="I262" s="26">
        <v>2693</v>
      </c>
      <c r="J262" s="105">
        <v>7694.9999900000003</v>
      </c>
      <c r="K262" s="35">
        <f>'1.05.'!M259</f>
        <v>0</v>
      </c>
      <c r="L262" s="27"/>
      <c r="M262" s="92">
        <f t="shared" si="136"/>
        <v>0</v>
      </c>
      <c r="N262" s="93">
        <f>I262-M262</f>
        <v>2693</v>
      </c>
      <c r="O262" s="70">
        <f t="shared" si="148"/>
        <v>0</v>
      </c>
      <c r="P262" s="71">
        <f t="shared" si="125"/>
        <v>7694.9999900000003</v>
      </c>
      <c r="Q262" s="35">
        <f t="shared" si="126"/>
        <v>9.9999997473787516E-6</v>
      </c>
      <c r="R262" s="72">
        <v>1103817</v>
      </c>
      <c r="S262" s="72">
        <f t="shared" si="127"/>
        <v>45755</v>
      </c>
      <c r="T262" s="62">
        <f t="shared" si="146"/>
        <v>38060.000010000003</v>
      </c>
    </row>
    <row r="263" spans="1:20">
      <c r="A263" s="100"/>
      <c r="B263" s="9"/>
      <c r="C263" s="9"/>
      <c r="D263" s="69"/>
      <c r="E263" s="69">
        <v>322</v>
      </c>
      <c r="F263" s="133" t="s">
        <v>82</v>
      </c>
      <c r="G263" s="26">
        <v>31280</v>
      </c>
      <c r="H263" s="26">
        <v>2153</v>
      </c>
      <c r="I263" s="26">
        <v>2153</v>
      </c>
      <c r="J263" s="105">
        <f>M263</f>
        <v>1939.7355</v>
      </c>
      <c r="K263" s="35">
        <f>'1.05.'!M260</f>
        <v>0</v>
      </c>
      <c r="L263" s="27">
        <v>1939.7355</v>
      </c>
      <c r="M263" s="92">
        <f t="shared" si="136"/>
        <v>1939.7355</v>
      </c>
      <c r="N263" s="93">
        <f>I263-M263</f>
        <v>213.2645</v>
      </c>
      <c r="O263" s="70">
        <f t="shared" si="148"/>
        <v>90.09454249883882</v>
      </c>
      <c r="P263" s="71">
        <f t="shared" si="125"/>
        <v>0</v>
      </c>
      <c r="Q263" s="35">
        <f t="shared" si="126"/>
        <v>213.2645</v>
      </c>
      <c r="R263" s="72">
        <v>1103818</v>
      </c>
      <c r="S263" s="72">
        <f t="shared" si="127"/>
        <v>29340.264500000001</v>
      </c>
    </row>
    <row r="264" spans="1:20" ht="25.5">
      <c r="A264" s="100"/>
      <c r="B264" s="8"/>
      <c r="C264" s="8"/>
      <c r="D264" s="17" t="s">
        <v>33</v>
      </c>
      <c r="E264" s="10"/>
      <c r="F264" s="140" t="s">
        <v>132</v>
      </c>
      <c r="G264" s="59">
        <f>G265+G273+G274+G275+G276</f>
        <v>3944155</v>
      </c>
      <c r="H264" s="59">
        <f t="shared" ref="H264:N264" si="152">H265+H273+H274+H275+H276</f>
        <v>827815.70000000007</v>
      </c>
      <c r="I264" s="59">
        <f t="shared" si="152"/>
        <v>827815.70000000007</v>
      </c>
      <c r="J264" s="59">
        <f t="shared" si="152"/>
        <v>827815.44903000002</v>
      </c>
      <c r="K264" s="59">
        <f t="shared" si="152"/>
        <v>633229.69903000002</v>
      </c>
      <c r="L264" s="59">
        <f t="shared" si="152"/>
        <v>194585.75</v>
      </c>
      <c r="M264" s="29">
        <f t="shared" si="152"/>
        <v>827815.44903000002</v>
      </c>
      <c r="N264" s="29">
        <f t="shared" si="152"/>
        <v>0.25097000005189329</v>
      </c>
      <c r="O264" s="68">
        <f>M264/I264*100</f>
        <v>99.999969682865398</v>
      </c>
      <c r="P264" s="71">
        <f t="shared" si="125"/>
        <v>0</v>
      </c>
      <c r="Q264" s="35">
        <f t="shared" si="126"/>
        <v>0.25097000005189329</v>
      </c>
      <c r="R264" s="72">
        <v>1103819</v>
      </c>
      <c r="S264" s="72">
        <f t="shared" si="127"/>
        <v>3116339.5509700002</v>
      </c>
      <c r="T264" s="62">
        <f t="shared" si="146"/>
        <v>3116339.5509700002</v>
      </c>
    </row>
    <row r="265" spans="1:20">
      <c r="A265" s="100"/>
      <c r="B265" s="9"/>
      <c r="C265" s="9"/>
      <c r="D265" s="69"/>
      <c r="E265" s="69">
        <v>159</v>
      </c>
      <c r="F265" s="141" t="s">
        <v>84</v>
      </c>
      <c r="G265" s="26">
        <f>SUM(G266:G272)</f>
        <v>3138252</v>
      </c>
      <c r="H265" s="26">
        <f>SUM(H266:H272)</f>
        <v>807124.70000000007</v>
      </c>
      <c r="I265" s="26">
        <f t="shared" ref="I265:N265" si="153">SUM(I266:I272)</f>
        <v>807124.70000000007</v>
      </c>
      <c r="J265" s="26">
        <f t="shared" si="153"/>
        <v>807124.69903000002</v>
      </c>
      <c r="K265" s="26">
        <f t="shared" si="153"/>
        <v>612841.69903000002</v>
      </c>
      <c r="L265" s="27">
        <f t="shared" si="153"/>
        <v>194283</v>
      </c>
      <c r="M265" s="26">
        <f t="shared" si="153"/>
        <v>807124.69903000002</v>
      </c>
      <c r="N265" s="27">
        <f t="shared" si="153"/>
        <v>9.7000005189329386E-4</v>
      </c>
      <c r="O265" s="70">
        <f t="shared" si="148"/>
        <v>99.999999879820294</v>
      </c>
      <c r="P265" s="71">
        <f t="shared" si="125"/>
        <v>0</v>
      </c>
      <c r="Q265" s="35">
        <f t="shared" si="126"/>
        <v>9.7000005189329386E-4</v>
      </c>
      <c r="R265" s="72">
        <v>1103820</v>
      </c>
      <c r="S265" s="72">
        <f t="shared" si="127"/>
        <v>2331127.3009700002</v>
      </c>
      <c r="T265" s="62">
        <f t="shared" si="146"/>
        <v>2331127.3009700002</v>
      </c>
    </row>
    <row r="266" spans="1:20">
      <c r="A266" s="100"/>
      <c r="B266" s="9"/>
      <c r="C266" s="9"/>
      <c r="D266" s="69"/>
      <c r="E266" s="69"/>
      <c r="F266" s="55" t="s">
        <v>49</v>
      </c>
      <c r="G266" s="26">
        <v>1124154</v>
      </c>
      <c r="H266" s="61">
        <f>2050+93053-1993.6+82986.9+75619.1+73890.1</f>
        <v>325605.5</v>
      </c>
      <c r="I266" s="61">
        <f>H266</f>
        <v>325605.5</v>
      </c>
      <c r="J266" s="105">
        <f>M266</f>
        <v>325605.5</v>
      </c>
      <c r="K266" s="35">
        <f>'1.05.'!M263</f>
        <v>251715.4</v>
      </c>
      <c r="L266" s="61">
        <v>73890.100000000006</v>
      </c>
      <c r="M266" s="92">
        <f>K266+L266</f>
        <v>325605.5</v>
      </c>
      <c r="N266" s="93">
        <f t="shared" ref="N266:N272" si="154">I266-M266</f>
        <v>0</v>
      </c>
      <c r="O266" s="70">
        <f t="shared" si="148"/>
        <v>100</v>
      </c>
      <c r="P266" s="71">
        <f t="shared" si="125"/>
        <v>0</v>
      </c>
      <c r="Q266" s="35">
        <f t="shared" si="126"/>
        <v>0</v>
      </c>
      <c r="R266" s="72">
        <v>1103821</v>
      </c>
      <c r="S266" s="72">
        <f t="shared" si="127"/>
        <v>798548.5</v>
      </c>
    </row>
    <row r="267" spans="1:20">
      <c r="A267" s="100"/>
      <c r="B267" s="9"/>
      <c r="C267" s="9"/>
      <c r="D267" s="69"/>
      <c r="E267" s="69"/>
      <c r="F267" s="55" t="s">
        <v>50</v>
      </c>
      <c r="G267" s="26">
        <v>130399</v>
      </c>
      <c r="H267" s="61">
        <f>26080-3722.9+19165.6+15755.3+13651.8</f>
        <v>70929.8</v>
      </c>
      <c r="I267" s="61">
        <f t="shared" ref="I267:I272" si="155">H267</f>
        <v>70929.8</v>
      </c>
      <c r="J267" s="105">
        <f t="shared" ref="J267:J273" si="156">M267</f>
        <v>70929.8</v>
      </c>
      <c r="K267" s="35">
        <f>'1.05.'!M264</f>
        <v>57278</v>
      </c>
      <c r="L267" s="61">
        <v>13651.8</v>
      </c>
      <c r="M267" s="92">
        <f t="shared" ref="M267:M272" si="157">K267+L267</f>
        <v>70929.8</v>
      </c>
      <c r="N267" s="93">
        <f t="shared" si="154"/>
        <v>0</v>
      </c>
      <c r="O267" s="70">
        <f t="shared" si="148"/>
        <v>100</v>
      </c>
      <c r="P267" s="71">
        <f t="shared" si="125"/>
        <v>0</v>
      </c>
      <c r="Q267" s="35">
        <f t="shared" si="126"/>
        <v>0</v>
      </c>
      <c r="R267" s="72">
        <v>1103822</v>
      </c>
      <c r="S267" s="72">
        <f t="shared" si="127"/>
        <v>59469.2</v>
      </c>
    </row>
    <row r="268" spans="1:20">
      <c r="A268" s="100"/>
      <c r="B268" s="9"/>
      <c r="C268" s="9"/>
      <c r="D268" s="69"/>
      <c r="E268" s="69"/>
      <c r="F268" s="55" t="s">
        <v>51</v>
      </c>
      <c r="G268" s="26"/>
      <c r="H268" s="61"/>
      <c r="I268" s="61">
        <f t="shared" si="155"/>
        <v>0</v>
      </c>
      <c r="J268" s="105">
        <f t="shared" si="156"/>
        <v>0</v>
      </c>
      <c r="K268" s="35">
        <f>'1.05.'!M265</f>
        <v>0</v>
      </c>
      <c r="L268" s="61"/>
      <c r="M268" s="92">
        <f t="shared" si="157"/>
        <v>0</v>
      </c>
      <c r="N268" s="93">
        <f t="shared" si="154"/>
        <v>0</v>
      </c>
      <c r="O268" s="70" t="e">
        <f t="shared" si="148"/>
        <v>#DIV/0!</v>
      </c>
      <c r="P268" s="71">
        <f t="shared" si="125"/>
        <v>0</v>
      </c>
      <c r="Q268" s="35">
        <f t="shared" si="126"/>
        <v>0</v>
      </c>
      <c r="R268" s="72">
        <v>1103823</v>
      </c>
      <c r="S268" s="72">
        <f t="shared" si="127"/>
        <v>0</v>
      </c>
    </row>
    <row r="269" spans="1:20">
      <c r="A269" s="100"/>
      <c r="B269" s="9"/>
      <c r="C269" s="9"/>
      <c r="D269" s="69"/>
      <c r="E269" s="69"/>
      <c r="F269" s="55" t="s">
        <v>52</v>
      </c>
      <c r="G269" s="26"/>
      <c r="H269" s="61"/>
      <c r="I269" s="61">
        <f t="shared" si="155"/>
        <v>0</v>
      </c>
      <c r="J269" s="105">
        <f t="shared" si="156"/>
        <v>0</v>
      </c>
      <c r="K269" s="35">
        <f>'1.05.'!M266</f>
        <v>0</v>
      </c>
      <c r="L269" s="61"/>
      <c r="M269" s="92">
        <f t="shared" si="157"/>
        <v>0</v>
      </c>
      <c r="N269" s="93">
        <f t="shared" si="154"/>
        <v>0</v>
      </c>
      <c r="O269" s="70" t="e">
        <f t="shared" si="148"/>
        <v>#DIV/0!</v>
      </c>
      <c r="P269" s="71">
        <f t="shared" si="125"/>
        <v>0</v>
      </c>
      <c r="Q269" s="35">
        <f t="shared" si="126"/>
        <v>0</v>
      </c>
      <c r="R269" s="72">
        <v>1103824</v>
      </c>
      <c r="S269" s="72">
        <f t="shared" si="127"/>
        <v>0</v>
      </c>
    </row>
    <row r="270" spans="1:20">
      <c r="A270" s="100"/>
      <c r="B270" s="9"/>
      <c r="C270" s="9"/>
      <c r="D270" s="69"/>
      <c r="E270" s="69"/>
      <c r="F270" s="55" t="s">
        <v>53</v>
      </c>
      <c r="G270" s="26">
        <v>236664</v>
      </c>
      <c r="H270" s="61">
        <f>2906-1667.6+4700+5843.7+9331.6</f>
        <v>21113.699999999997</v>
      </c>
      <c r="I270" s="61">
        <f t="shared" si="155"/>
        <v>21113.699999999997</v>
      </c>
      <c r="J270" s="105">
        <f t="shared" si="156"/>
        <v>21113.699999999997</v>
      </c>
      <c r="K270" s="35">
        <f>'1.05.'!M267</f>
        <v>11782.099999999999</v>
      </c>
      <c r="L270" s="61">
        <v>9331.6</v>
      </c>
      <c r="M270" s="92">
        <f t="shared" si="157"/>
        <v>21113.699999999997</v>
      </c>
      <c r="N270" s="93">
        <f t="shared" si="154"/>
        <v>0</v>
      </c>
      <c r="O270" s="70">
        <f t="shared" si="148"/>
        <v>100</v>
      </c>
      <c r="P270" s="71">
        <f t="shared" si="125"/>
        <v>0</v>
      </c>
      <c r="Q270" s="35">
        <f t="shared" si="126"/>
        <v>0</v>
      </c>
      <c r="R270" s="72">
        <v>1103825</v>
      </c>
      <c r="S270" s="72">
        <f t="shared" si="127"/>
        <v>215550.3</v>
      </c>
    </row>
    <row r="271" spans="1:20">
      <c r="A271" s="100"/>
      <c r="B271" s="9"/>
      <c r="C271" s="9"/>
      <c r="D271" s="69"/>
      <c r="E271" s="69"/>
      <c r="F271" s="55" t="s">
        <v>54</v>
      </c>
      <c r="G271" s="26">
        <v>27612</v>
      </c>
      <c r="H271" s="61">
        <f>2111-228.7+1923.4+1926.2+1992.5</f>
        <v>7724.4</v>
      </c>
      <c r="I271" s="61">
        <f t="shared" si="155"/>
        <v>7724.4</v>
      </c>
      <c r="J271" s="105">
        <f t="shared" si="156"/>
        <v>7724.4</v>
      </c>
      <c r="K271" s="35">
        <f>'1.05.'!M268</f>
        <v>5731.9</v>
      </c>
      <c r="L271" s="61">
        <v>1992.5</v>
      </c>
      <c r="M271" s="92">
        <f t="shared" si="157"/>
        <v>7724.4</v>
      </c>
      <c r="N271" s="93">
        <f t="shared" si="154"/>
        <v>0</v>
      </c>
      <c r="O271" s="70">
        <f t="shared" si="148"/>
        <v>100</v>
      </c>
      <c r="P271" s="71">
        <f t="shared" si="125"/>
        <v>0</v>
      </c>
      <c r="Q271" s="35">
        <f t="shared" si="126"/>
        <v>0</v>
      </c>
      <c r="R271" s="72">
        <v>1103826</v>
      </c>
      <c r="S271" s="72">
        <f t="shared" si="127"/>
        <v>19887.599999999999</v>
      </c>
    </row>
    <row r="272" spans="1:20">
      <c r="A272" s="100"/>
      <c r="B272" s="9"/>
      <c r="C272" s="9"/>
      <c r="D272" s="69"/>
      <c r="E272" s="69"/>
      <c r="F272" s="55" t="s">
        <v>55</v>
      </c>
      <c r="G272" s="26">
        <f>1186640+432783</f>
        <v>1619423</v>
      </c>
      <c r="H272" s="61">
        <f>101338-7295.2+96749.1+95542.4+95417</f>
        <v>381751.30000000005</v>
      </c>
      <c r="I272" s="61">
        <f t="shared" si="155"/>
        <v>381751.30000000005</v>
      </c>
      <c r="J272" s="105">
        <f t="shared" si="156"/>
        <v>381751.29902999999</v>
      </c>
      <c r="K272" s="35">
        <f>'1.05.'!M269</f>
        <v>286334.29902999999</v>
      </c>
      <c r="L272" s="61">
        <v>95417</v>
      </c>
      <c r="M272" s="92">
        <f t="shared" si="157"/>
        <v>381751.29902999999</v>
      </c>
      <c r="N272" s="93">
        <f t="shared" si="154"/>
        <v>9.7000005189329386E-4</v>
      </c>
      <c r="O272" s="70">
        <f t="shared" si="148"/>
        <v>99.999999745907857</v>
      </c>
      <c r="P272" s="71">
        <f t="shared" si="125"/>
        <v>0</v>
      </c>
      <c r="Q272" s="35">
        <f t="shared" si="126"/>
        <v>9.7000005189329386E-4</v>
      </c>
      <c r="R272" s="72">
        <v>1103827</v>
      </c>
      <c r="S272" s="72">
        <f t="shared" si="127"/>
        <v>1237671.7009700001</v>
      </c>
    </row>
    <row r="273" spans="1:20">
      <c r="A273" s="100"/>
      <c r="B273" s="9"/>
      <c r="C273" s="9"/>
      <c r="D273" s="69"/>
      <c r="E273" s="69">
        <v>169</v>
      </c>
      <c r="F273" s="136" t="s">
        <v>103</v>
      </c>
      <c r="G273" s="26">
        <f>503430+67470-570900</f>
        <v>0</v>
      </c>
      <c r="H273" s="26"/>
      <c r="I273" s="26"/>
      <c r="J273" s="105">
        <f t="shared" si="156"/>
        <v>0</v>
      </c>
      <c r="K273" s="35">
        <f>'1.05.'!M270</f>
        <v>0</v>
      </c>
      <c r="L273" s="27"/>
      <c r="M273" s="92">
        <f>K273+L273</f>
        <v>0</v>
      </c>
      <c r="N273" s="93">
        <f>I273-M273</f>
        <v>0</v>
      </c>
      <c r="O273" s="70" t="e">
        <f t="shared" si="148"/>
        <v>#DIV/0!</v>
      </c>
      <c r="P273" s="71">
        <f t="shared" si="125"/>
        <v>0</v>
      </c>
      <c r="Q273" s="35">
        <f t="shared" si="126"/>
        <v>0</v>
      </c>
      <c r="R273" s="72">
        <v>1103828</v>
      </c>
      <c r="S273" s="72">
        <f t="shared" si="127"/>
        <v>0</v>
      </c>
      <c r="T273" s="62">
        <f t="shared" si="146"/>
        <v>0</v>
      </c>
    </row>
    <row r="274" spans="1:20" ht="25.5">
      <c r="A274" s="100"/>
      <c r="B274" s="9"/>
      <c r="C274" s="9"/>
      <c r="D274" s="69"/>
      <c r="E274" s="69">
        <v>311</v>
      </c>
      <c r="F274" s="3" t="s">
        <v>133</v>
      </c>
      <c r="G274" s="26"/>
      <c r="H274" s="26"/>
      <c r="I274" s="26"/>
      <c r="J274" s="105">
        <f>M274</f>
        <v>0</v>
      </c>
      <c r="K274" s="35">
        <f>'1.05.'!M271</f>
        <v>0</v>
      </c>
      <c r="L274" s="27"/>
      <c r="M274" s="92">
        <f>K274+L274</f>
        <v>0</v>
      </c>
      <c r="N274" s="93">
        <f>I274-M274</f>
        <v>0</v>
      </c>
      <c r="O274" s="70" t="e">
        <f t="shared" si="148"/>
        <v>#DIV/0!</v>
      </c>
      <c r="P274" s="71">
        <f t="shared" si="125"/>
        <v>0</v>
      </c>
      <c r="Q274" s="35">
        <f t="shared" si="126"/>
        <v>0</v>
      </c>
      <c r="R274" s="72">
        <v>1103829</v>
      </c>
      <c r="S274" s="72">
        <f t="shared" si="127"/>
        <v>0</v>
      </c>
    </row>
    <row r="275" spans="1:20">
      <c r="A275" s="100"/>
      <c r="B275" s="9"/>
      <c r="C275" s="9"/>
      <c r="D275" s="69"/>
      <c r="E275" s="69">
        <v>313</v>
      </c>
      <c r="F275" s="3" t="s">
        <v>165</v>
      </c>
      <c r="G275" s="26">
        <f>10853+224150</f>
        <v>235003</v>
      </c>
      <c r="H275" s="26">
        <v>20691</v>
      </c>
      <c r="I275" s="26">
        <v>20691</v>
      </c>
      <c r="J275" s="105">
        <f>M275</f>
        <v>20690.75</v>
      </c>
      <c r="K275" s="35">
        <f>'1.05.'!M272</f>
        <v>20388</v>
      </c>
      <c r="L275" s="27">
        <v>302.75</v>
      </c>
      <c r="M275" s="92">
        <f>K275+L275</f>
        <v>20690.75</v>
      </c>
      <c r="N275" s="93">
        <f>I275-M275</f>
        <v>0.25</v>
      </c>
      <c r="O275" s="70">
        <f t="shared" si="148"/>
        <v>99.998791745203235</v>
      </c>
      <c r="P275" s="71">
        <f t="shared" si="125"/>
        <v>0</v>
      </c>
      <c r="Q275" s="35">
        <f t="shared" si="126"/>
        <v>0.25</v>
      </c>
      <c r="R275" s="72">
        <v>1103829</v>
      </c>
      <c r="S275" s="72">
        <f t="shared" si="127"/>
        <v>214312.25</v>
      </c>
    </row>
    <row r="276" spans="1:20" ht="25.5">
      <c r="A276" s="100"/>
      <c r="B276" s="9"/>
      <c r="C276" s="9"/>
      <c r="D276" s="69"/>
      <c r="E276" s="69">
        <v>372</v>
      </c>
      <c r="F276" s="3" t="s">
        <v>169</v>
      </c>
      <c r="G276" s="26">
        <v>570900</v>
      </c>
      <c r="H276" s="26"/>
      <c r="I276" s="26"/>
      <c r="J276" s="105"/>
      <c r="K276" s="35"/>
      <c r="L276" s="27"/>
      <c r="M276" s="92"/>
      <c r="N276" s="93"/>
      <c r="O276" s="70"/>
      <c r="P276" s="71"/>
      <c r="Q276" s="35"/>
      <c r="R276" s="72"/>
      <c r="S276" s="72"/>
    </row>
    <row r="277" spans="1:20" s="73" customFormat="1" ht="38.25">
      <c r="A277" s="103"/>
      <c r="B277" s="8"/>
      <c r="C277" s="17" t="s">
        <v>34</v>
      </c>
      <c r="D277" s="21"/>
      <c r="E277" s="21"/>
      <c r="F277" s="125" t="s">
        <v>134</v>
      </c>
      <c r="G277" s="23">
        <f>G278</f>
        <v>10428</v>
      </c>
      <c r="H277" s="23">
        <f t="shared" ref="H277:O277" si="158">H278</f>
        <v>3892</v>
      </c>
      <c r="I277" s="23">
        <f t="shared" si="158"/>
        <v>3892</v>
      </c>
      <c r="J277" s="38">
        <f t="shared" si="158"/>
        <v>2595</v>
      </c>
      <c r="K277" s="38">
        <f t="shared" si="158"/>
        <v>1297.5</v>
      </c>
      <c r="L277" s="23">
        <f t="shared" si="158"/>
        <v>1297.5</v>
      </c>
      <c r="M277" s="24">
        <f t="shared" si="158"/>
        <v>2595</v>
      </c>
      <c r="N277" s="23">
        <f t="shared" si="158"/>
        <v>1297</v>
      </c>
      <c r="O277" s="39">
        <f t="shared" si="158"/>
        <v>66.675231243576576</v>
      </c>
      <c r="P277" s="71">
        <f t="shared" si="125"/>
        <v>0</v>
      </c>
      <c r="Q277" s="35">
        <f t="shared" si="126"/>
        <v>1297</v>
      </c>
      <c r="R277" s="72">
        <v>1103830</v>
      </c>
      <c r="S277" s="72">
        <f t="shared" si="127"/>
        <v>7833</v>
      </c>
      <c r="T277" s="62">
        <f t="shared" si="146"/>
        <v>7833</v>
      </c>
    </row>
    <row r="278" spans="1:20">
      <c r="A278" s="100"/>
      <c r="B278" s="8"/>
      <c r="C278" s="8"/>
      <c r="D278" s="17" t="s">
        <v>7</v>
      </c>
      <c r="E278" s="10"/>
      <c r="F278" s="135" t="s">
        <v>85</v>
      </c>
      <c r="G278" s="59">
        <f>G279+G280</f>
        <v>10428</v>
      </c>
      <c r="H278" s="59">
        <f t="shared" ref="H278:N278" si="159">H279+H280</f>
        <v>3892</v>
      </c>
      <c r="I278" s="59">
        <f t="shared" si="159"/>
        <v>3892</v>
      </c>
      <c r="J278" s="59">
        <f t="shared" si="159"/>
        <v>2595</v>
      </c>
      <c r="K278" s="59">
        <f t="shared" si="159"/>
        <v>1297.5</v>
      </c>
      <c r="L278" s="59">
        <f t="shared" si="159"/>
        <v>1297.5</v>
      </c>
      <c r="M278" s="59">
        <f t="shared" si="159"/>
        <v>2595</v>
      </c>
      <c r="N278" s="59">
        <f t="shared" si="159"/>
        <v>1297</v>
      </c>
      <c r="O278" s="68">
        <f>M278/I278*100</f>
        <v>66.675231243576576</v>
      </c>
      <c r="P278" s="71">
        <f t="shared" si="125"/>
        <v>0</v>
      </c>
      <c r="Q278" s="35">
        <f t="shared" si="126"/>
        <v>1297</v>
      </c>
      <c r="R278" s="72">
        <v>1103831</v>
      </c>
      <c r="S278" s="72">
        <f t="shared" si="127"/>
        <v>7833</v>
      </c>
      <c r="T278" s="62">
        <f t="shared" si="146"/>
        <v>7833</v>
      </c>
    </row>
    <row r="279" spans="1:20" ht="25.5">
      <c r="A279" s="100"/>
      <c r="B279" s="9"/>
      <c r="C279" s="9"/>
      <c r="D279" s="69"/>
      <c r="E279" s="69">
        <v>311</v>
      </c>
      <c r="F279" s="142" t="s">
        <v>133</v>
      </c>
      <c r="G279" s="26">
        <f>10428-10428</f>
        <v>0</v>
      </c>
      <c r="H279" s="26"/>
      <c r="I279" s="26"/>
      <c r="J279" s="105">
        <f>M279</f>
        <v>0</v>
      </c>
      <c r="K279" s="35">
        <f>'1.05.'!M275</f>
        <v>0</v>
      </c>
      <c r="L279" s="27"/>
      <c r="M279" s="92">
        <f>K279+L279</f>
        <v>0</v>
      </c>
      <c r="N279" s="93">
        <f>I279-M279</f>
        <v>0</v>
      </c>
      <c r="O279" s="70" t="e">
        <f>M279/I279*100</f>
        <v>#DIV/0!</v>
      </c>
      <c r="P279" s="71">
        <f t="shared" si="125"/>
        <v>0</v>
      </c>
      <c r="Q279" s="35">
        <f t="shared" si="126"/>
        <v>0</v>
      </c>
      <c r="R279" s="72">
        <v>1103832</v>
      </c>
      <c r="S279" s="72">
        <f t="shared" si="127"/>
        <v>0</v>
      </c>
      <c r="T279" s="62">
        <f t="shared" si="146"/>
        <v>0</v>
      </c>
    </row>
    <row r="280" spans="1:20">
      <c r="A280" s="100"/>
      <c r="B280" s="9"/>
      <c r="C280" s="9"/>
      <c r="D280" s="69"/>
      <c r="E280" s="69">
        <v>312</v>
      </c>
      <c r="F280" s="3" t="s">
        <v>166</v>
      </c>
      <c r="G280" s="26">
        <v>10428</v>
      </c>
      <c r="H280" s="26">
        <v>3892</v>
      </c>
      <c r="I280" s="26">
        <v>3892</v>
      </c>
      <c r="J280" s="105">
        <f>M280</f>
        <v>2595</v>
      </c>
      <c r="K280" s="35">
        <f>'1.05.'!M276</f>
        <v>1297.5</v>
      </c>
      <c r="L280" s="27">
        <v>1297.5</v>
      </c>
      <c r="M280" s="92">
        <f>K280+L280</f>
        <v>2595</v>
      </c>
      <c r="N280" s="93">
        <f>I280-M280</f>
        <v>1297</v>
      </c>
      <c r="O280" s="70">
        <f>M280/I280*100</f>
        <v>66.675231243576576</v>
      </c>
      <c r="P280" s="71">
        <f t="shared" si="125"/>
        <v>0</v>
      </c>
      <c r="Q280" s="35">
        <f t="shared" si="126"/>
        <v>1297</v>
      </c>
      <c r="R280" s="72">
        <v>1103833</v>
      </c>
      <c r="S280" s="72">
        <f t="shared" si="127"/>
        <v>7833</v>
      </c>
    </row>
    <row r="281" spans="1:20" s="73" customFormat="1" ht="25.5">
      <c r="A281" s="8"/>
      <c r="B281" s="58">
        <v>1268</v>
      </c>
      <c r="C281" s="8"/>
      <c r="D281" s="21"/>
      <c r="E281" s="21"/>
      <c r="F281" s="143" t="s">
        <v>135</v>
      </c>
      <c r="G281" s="59">
        <f>G282+G309</f>
        <v>603992</v>
      </c>
      <c r="H281" s="59">
        <f t="shared" ref="H281:N281" si="160">H282+H309</f>
        <v>135490.5</v>
      </c>
      <c r="I281" s="59">
        <f t="shared" si="160"/>
        <v>83458.600000000006</v>
      </c>
      <c r="J281" s="29">
        <f t="shared" si="160"/>
        <v>134749.26798999999</v>
      </c>
      <c r="K281" s="29">
        <f>'1.02.'!M262</f>
        <v>2434.3649999999998</v>
      </c>
      <c r="L281" s="60">
        <f t="shared" si="160"/>
        <v>23257.284</v>
      </c>
      <c r="M281" s="29">
        <f t="shared" si="160"/>
        <v>77543.80898999999</v>
      </c>
      <c r="N281" s="29">
        <f t="shared" si="160"/>
        <v>5914.7910099999981</v>
      </c>
      <c r="O281" s="68">
        <f t="shared" ref="O281:O285" si="161">M281/I281*100</f>
        <v>92.912904110541021</v>
      </c>
      <c r="P281" s="71">
        <f t="shared" si="125"/>
        <v>57205.459000000003</v>
      </c>
      <c r="Q281" s="35">
        <f t="shared" si="126"/>
        <v>741.23201000000699</v>
      </c>
      <c r="R281" s="72">
        <v>1103833</v>
      </c>
      <c r="S281" s="72">
        <f t="shared" si="127"/>
        <v>526448.19100999995</v>
      </c>
      <c r="T281" s="62">
        <f t="shared" si="146"/>
        <v>469242.73201000004</v>
      </c>
    </row>
    <row r="282" spans="1:20" ht="38.25">
      <c r="A282" s="8"/>
      <c r="B282" s="8"/>
      <c r="C282" s="17" t="s">
        <v>38</v>
      </c>
      <c r="D282" s="17"/>
      <c r="E282" s="21"/>
      <c r="F282" s="139" t="s">
        <v>121</v>
      </c>
      <c r="G282" s="42">
        <f>G290</f>
        <v>547045</v>
      </c>
      <c r="H282" s="42">
        <f t="shared" ref="H282:N282" si="162">H290</f>
        <v>107317.5</v>
      </c>
      <c r="I282" s="42">
        <f t="shared" si="162"/>
        <v>61181.3</v>
      </c>
      <c r="J282" s="42">
        <f t="shared" si="162"/>
        <v>107144.26641</v>
      </c>
      <c r="K282" s="29">
        <f>'1.02.'!M263</f>
        <v>2434.3649999999998</v>
      </c>
      <c r="L282" s="60">
        <f t="shared" si="162"/>
        <v>23257.284</v>
      </c>
      <c r="M282" s="42">
        <f t="shared" si="162"/>
        <v>61180.941999999995</v>
      </c>
      <c r="N282" s="29">
        <f t="shared" si="162"/>
        <v>0.35799999999937882</v>
      </c>
      <c r="O282" s="68">
        <f t="shared" si="161"/>
        <v>99.999414853885085</v>
      </c>
      <c r="P282" s="71">
        <f t="shared" si="125"/>
        <v>45963.324410000001</v>
      </c>
      <c r="Q282" s="35">
        <f t="shared" si="126"/>
        <v>173.23359000000346</v>
      </c>
      <c r="R282" s="72">
        <v>1103834</v>
      </c>
      <c r="S282" s="72">
        <f t="shared" si="127"/>
        <v>485864.05800000002</v>
      </c>
      <c r="T282" s="62">
        <f t="shared" si="146"/>
        <v>439900.73359000002</v>
      </c>
    </row>
    <row r="283" spans="1:20" hidden="1">
      <c r="A283" s="8"/>
      <c r="B283" s="8"/>
      <c r="C283" s="8"/>
      <c r="D283" s="17" t="s">
        <v>28</v>
      </c>
      <c r="E283" s="10"/>
      <c r="F283" s="135" t="s">
        <v>85</v>
      </c>
      <c r="G283" s="42">
        <f>SUM(G284:G289)</f>
        <v>0</v>
      </c>
      <c r="H283" s="42">
        <f t="shared" ref="H283:N283" si="163">SUM(H284:H289)</f>
        <v>0</v>
      </c>
      <c r="I283" s="42">
        <f t="shared" si="163"/>
        <v>0</v>
      </c>
      <c r="J283" s="33" t="e">
        <f t="shared" si="163"/>
        <v>#REF!</v>
      </c>
      <c r="K283" s="29" t="e">
        <f>'1.02.'!M264</f>
        <v>#REF!</v>
      </c>
      <c r="L283" s="33">
        <f t="shared" si="163"/>
        <v>0</v>
      </c>
      <c r="M283" s="60" t="e">
        <f t="shared" si="163"/>
        <v>#REF!</v>
      </c>
      <c r="N283" s="60" t="e">
        <f t="shared" si="163"/>
        <v>#REF!</v>
      </c>
      <c r="O283" s="68" t="e">
        <f t="shared" si="161"/>
        <v>#REF!</v>
      </c>
      <c r="P283" s="71" t="e">
        <f t="shared" si="125"/>
        <v>#REF!</v>
      </c>
      <c r="Q283" s="35" t="e">
        <f t="shared" si="126"/>
        <v>#REF!</v>
      </c>
      <c r="R283" s="72">
        <v>1103835</v>
      </c>
      <c r="S283" s="72" t="e">
        <f t="shared" si="127"/>
        <v>#REF!</v>
      </c>
      <c r="T283" s="62" t="e">
        <f t="shared" si="146"/>
        <v>#REF!</v>
      </c>
    </row>
    <row r="284" spans="1:20" s="73" customFormat="1" hidden="1">
      <c r="A284" s="9"/>
      <c r="B284" s="9"/>
      <c r="C284" s="9"/>
      <c r="D284" s="69"/>
      <c r="E284" s="69">
        <v>111</v>
      </c>
      <c r="F284" s="3" t="s">
        <v>0</v>
      </c>
      <c r="G284" s="26"/>
      <c r="H284" s="26"/>
      <c r="I284" s="26"/>
      <c r="J284" s="105" t="e">
        <f t="shared" ref="J284:J289" si="164">M284</f>
        <v>#REF!</v>
      </c>
      <c r="K284" s="29" t="e">
        <f>'1.02.'!M265</f>
        <v>#REF!</v>
      </c>
      <c r="L284" s="27"/>
      <c r="M284" s="71" t="e">
        <f t="shared" ref="M284:M289" si="165">K284+L284</f>
        <v>#REF!</v>
      </c>
      <c r="N284" s="35" t="e">
        <f t="shared" ref="N284:N289" si="166">I284-M284</f>
        <v>#REF!</v>
      </c>
      <c r="O284" s="70" t="e">
        <f t="shared" si="161"/>
        <v>#REF!</v>
      </c>
      <c r="P284" s="71" t="e">
        <f t="shared" si="125"/>
        <v>#REF!</v>
      </c>
      <c r="Q284" s="35" t="e">
        <f t="shared" si="126"/>
        <v>#REF!</v>
      </c>
      <c r="R284" s="72">
        <v>1103836</v>
      </c>
      <c r="S284" s="72" t="e">
        <f t="shared" si="127"/>
        <v>#REF!</v>
      </c>
      <c r="T284" s="62" t="e">
        <f t="shared" si="146"/>
        <v>#REF!</v>
      </c>
    </row>
    <row r="285" spans="1:20" hidden="1">
      <c r="A285" s="9"/>
      <c r="B285" s="9"/>
      <c r="C285" s="9"/>
      <c r="D285" s="69"/>
      <c r="E285" s="76">
        <v>113</v>
      </c>
      <c r="F285" s="3" t="s">
        <v>1</v>
      </c>
      <c r="G285" s="26"/>
      <c r="H285" s="26"/>
      <c r="I285" s="26"/>
      <c r="J285" s="105" t="e">
        <f t="shared" si="164"/>
        <v>#REF!</v>
      </c>
      <c r="K285" s="29" t="e">
        <f>'1.02.'!M266</f>
        <v>#REF!</v>
      </c>
      <c r="L285" s="27"/>
      <c r="M285" s="71" t="e">
        <f t="shared" si="165"/>
        <v>#REF!</v>
      </c>
      <c r="N285" s="35" t="e">
        <f t="shared" si="166"/>
        <v>#REF!</v>
      </c>
      <c r="O285" s="70" t="e">
        <f t="shared" si="161"/>
        <v>#REF!</v>
      </c>
      <c r="P285" s="71" t="e">
        <f t="shared" ref="P285:P313" si="167">J285-M285</f>
        <v>#REF!</v>
      </c>
      <c r="Q285" s="35" t="e">
        <f t="shared" ref="Q285:Q313" si="168">H285-J285</f>
        <v>#REF!</v>
      </c>
      <c r="R285" s="72">
        <v>1103837</v>
      </c>
      <c r="S285" s="72" t="e">
        <f t="shared" ref="S285:S313" si="169">G285-M285</f>
        <v>#REF!</v>
      </c>
      <c r="T285" s="62" t="e">
        <f t="shared" si="146"/>
        <v>#REF!</v>
      </c>
    </row>
    <row r="286" spans="1:20" hidden="1">
      <c r="A286" s="9"/>
      <c r="B286" s="9"/>
      <c r="C286" s="9"/>
      <c r="D286" s="69"/>
      <c r="E286" s="69">
        <v>116</v>
      </c>
      <c r="F286" s="3" t="s">
        <v>42</v>
      </c>
      <c r="G286" s="26"/>
      <c r="H286" s="26"/>
      <c r="I286" s="26"/>
      <c r="J286" s="105" t="e">
        <f t="shared" si="164"/>
        <v>#REF!</v>
      </c>
      <c r="K286" s="29" t="e">
        <f>'1.02.'!M267</f>
        <v>#REF!</v>
      </c>
      <c r="L286" s="27"/>
      <c r="M286" s="71" t="e">
        <f t="shared" si="165"/>
        <v>#REF!</v>
      </c>
      <c r="N286" s="35" t="e">
        <f t="shared" si="166"/>
        <v>#REF!</v>
      </c>
      <c r="O286" s="70" t="e">
        <f>M286/I286*100</f>
        <v>#REF!</v>
      </c>
      <c r="P286" s="71" t="e">
        <f t="shared" si="167"/>
        <v>#REF!</v>
      </c>
      <c r="Q286" s="35" t="e">
        <f t="shared" si="168"/>
        <v>#REF!</v>
      </c>
      <c r="R286" s="72">
        <v>1103838</v>
      </c>
      <c r="S286" s="72" t="e">
        <f t="shared" si="169"/>
        <v>#REF!</v>
      </c>
    </row>
    <row r="287" spans="1:20" s="73" customFormat="1" hidden="1">
      <c r="A287" s="9"/>
      <c r="B287" s="9"/>
      <c r="C287" s="9"/>
      <c r="D287" s="69"/>
      <c r="E287" s="69">
        <v>121</v>
      </c>
      <c r="F287" s="3" t="s">
        <v>2</v>
      </c>
      <c r="G287" s="26"/>
      <c r="H287" s="26"/>
      <c r="I287" s="26"/>
      <c r="J287" s="105" t="e">
        <f t="shared" si="164"/>
        <v>#REF!</v>
      </c>
      <c r="K287" s="29" t="e">
        <f>'1.02.'!M268</f>
        <v>#REF!</v>
      </c>
      <c r="L287" s="27"/>
      <c r="M287" s="71" t="e">
        <f t="shared" si="165"/>
        <v>#REF!</v>
      </c>
      <c r="N287" s="35" t="e">
        <f t="shared" si="166"/>
        <v>#REF!</v>
      </c>
      <c r="O287" s="70" t="e">
        <f>M287/I287*100</f>
        <v>#REF!</v>
      </c>
      <c r="P287" s="71" t="e">
        <f t="shared" si="167"/>
        <v>#REF!</v>
      </c>
      <c r="Q287" s="35" t="e">
        <f t="shared" si="168"/>
        <v>#REF!</v>
      </c>
      <c r="R287" s="72">
        <v>1103839</v>
      </c>
      <c r="S287" s="72" t="e">
        <f t="shared" si="169"/>
        <v>#REF!</v>
      </c>
      <c r="T287" s="62" t="e">
        <f t="shared" ref="T287:T291" si="170">G287-J287</f>
        <v>#REF!</v>
      </c>
    </row>
    <row r="288" spans="1:20" s="73" customFormat="1" ht="25.5" hidden="1">
      <c r="A288" s="9"/>
      <c r="B288" s="9"/>
      <c r="C288" s="9"/>
      <c r="D288" s="69"/>
      <c r="E288" s="69">
        <v>122</v>
      </c>
      <c r="F288" s="3" t="s">
        <v>3</v>
      </c>
      <c r="G288" s="26"/>
      <c r="H288" s="26"/>
      <c r="I288" s="26"/>
      <c r="J288" s="105" t="e">
        <f t="shared" si="164"/>
        <v>#REF!</v>
      </c>
      <c r="K288" s="29" t="e">
        <f>'1.02.'!M269</f>
        <v>#REF!</v>
      </c>
      <c r="L288" s="27"/>
      <c r="M288" s="71" t="e">
        <f t="shared" si="165"/>
        <v>#REF!</v>
      </c>
      <c r="N288" s="35" t="e">
        <f t="shared" si="166"/>
        <v>#REF!</v>
      </c>
      <c r="O288" s="70" t="e">
        <f t="shared" ref="O288:O293" si="171">M288/I288*100</f>
        <v>#REF!</v>
      </c>
      <c r="P288" s="71" t="e">
        <f t="shared" si="167"/>
        <v>#REF!</v>
      </c>
      <c r="Q288" s="35" t="e">
        <f t="shared" si="168"/>
        <v>#REF!</v>
      </c>
      <c r="R288" s="72">
        <v>1103840</v>
      </c>
      <c r="S288" s="72" t="e">
        <f t="shared" si="169"/>
        <v>#REF!</v>
      </c>
      <c r="T288" s="62" t="e">
        <f t="shared" si="170"/>
        <v>#REF!</v>
      </c>
    </row>
    <row r="289" spans="1:20" s="73" customFormat="1" ht="25.5" hidden="1">
      <c r="A289" s="9"/>
      <c r="B289" s="9"/>
      <c r="C289" s="9"/>
      <c r="D289" s="69"/>
      <c r="E289" s="69">
        <v>124</v>
      </c>
      <c r="F289" s="3" t="s">
        <v>19</v>
      </c>
      <c r="G289" s="26"/>
      <c r="H289" s="26"/>
      <c r="I289" s="26"/>
      <c r="J289" s="105" t="e">
        <f t="shared" si="164"/>
        <v>#REF!</v>
      </c>
      <c r="K289" s="29" t="e">
        <f>'1.02.'!M270</f>
        <v>#REF!</v>
      </c>
      <c r="L289" s="27"/>
      <c r="M289" s="71" t="e">
        <f t="shared" si="165"/>
        <v>#REF!</v>
      </c>
      <c r="N289" s="35" t="e">
        <f t="shared" si="166"/>
        <v>#REF!</v>
      </c>
      <c r="O289" s="70" t="e">
        <f t="shared" si="171"/>
        <v>#REF!</v>
      </c>
      <c r="P289" s="71" t="e">
        <f t="shared" si="167"/>
        <v>#REF!</v>
      </c>
      <c r="Q289" s="35" t="e">
        <f t="shared" si="168"/>
        <v>#REF!</v>
      </c>
      <c r="R289" s="72">
        <v>1103841</v>
      </c>
      <c r="S289" s="72" t="e">
        <f t="shared" si="169"/>
        <v>#REF!</v>
      </c>
      <c r="T289" s="62" t="e">
        <f t="shared" si="170"/>
        <v>#REF!</v>
      </c>
    </row>
    <row r="290" spans="1:20">
      <c r="A290" s="8"/>
      <c r="B290" s="8"/>
      <c r="C290" s="17"/>
      <c r="D290" s="17" t="s">
        <v>7</v>
      </c>
      <c r="E290" s="10"/>
      <c r="F290" s="135" t="s">
        <v>85</v>
      </c>
      <c r="G290" s="40">
        <f>SUM(G291:G308)</f>
        <v>547045</v>
      </c>
      <c r="H290" s="40">
        <f>SUM(H291:H308)</f>
        <v>107317.5</v>
      </c>
      <c r="I290" s="40">
        <f>SUM(I291:I308)</f>
        <v>61181.3</v>
      </c>
      <c r="J290" s="24">
        <f t="shared" ref="J290" si="172">SUM(J291:J308)</f>
        <v>107144.26641</v>
      </c>
      <c r="K290" s="29">
        <f>'1.02.'!M271</f>
        <v>2434.3649999999998</v>
      </c>
      <c r="L290" s="24">
        <f>SUM(L291:L308)</f>
        <v>23257.284</v>
      </c>
      <c r="M290" s="24">
        <f t="shared" ref="M290" si="173">SUM(M291:M308)</f>
        <v>61180.941999999995</v>
      </c>
      <c r="N290" s="24">
        <f>SUM(N291:N308)</f>
        <v>0.35799999999937882</v>
      </c>
      <c r="O290" s="66">
        <f t="shared" si="171"/>
        <v>99.999414853885085</v>
      </c>
      <c r="P290" s="71">
        <f t="shared" si="167"/>
        <v>45963.324410000001</v>
      </c>
      <c r="Q290" s="35">
        <f t="shared" si="168"/>
        <v>173.23359000000346</v>
      </c>
      <c r="R290" s="72">
        <v>1103842</v>
      </c>
      <c r="S290" s="72">
        <f t="shared" si="169"/>
        <v>485864.05800000002</v>
      </c>
      <c r="T290" s="62">
        <f t="shared" si="170"/>
        <v>439900.73359000002</v>
      </c>
    </row>
    <row r="291" spans="1:20">
      <c r="A291" s="8"/>
      <c r="B291" s="9"/>
      <c r="C291" s="9"/>
      <c r="D291" s="69"/>
      <c r="E291" s="69">
        <v>111</v>
      </c>
      <c r="F291" s="136" t="s">
        <v>86</v>
      </c>
      <c r="G291" s="26">
        <f>395706-34947-1433</f>
        <v>359326</v>
      </c>
      <c r="H291" s="26">
        <v>26627</v>
      </c>
      <c r="I291" s="26">
        <v>26627</v>
      </c>
      <c r="J291" s="105">
        <f>M291</f>
        <v>26627</v>
      </c>
      <c r="K291" s="35">
        <f>'1.05.'!M287</f>
        <v>16627</v>
      </c>
      <c r="L291" s="27">
        <v>10000</v>
      </c>
      <c r="M291" s="92">
        <f t="shared" ref="M291:M293" si="174">K291+L291</f>
        <v>26627</v>
      </c>
      <c r="N291" s="93">
        <f t="shared" ref="N291:N293" si="175">I291-M291</f>
        <v>0</v>
      </c>
      <c r="O291" s="70">
        <f t="shared" si="171"/>
        <v>100</v>
      </c>
      <c r="P291" s="71">
        <f t="shared" si="167"/>
        <v>0</v>
      </c>
      <c r="Q291" s="35">
        <f t="shared" si="168"/>
        <v>0</v>
      </c>
      <c r="R291" s="72">
        <v>1103843</v>
      </c>
      <c r="S291" s="72">
        <f t="shared" si="169"/>
        <v>332699</v>
      </c>
      <c r="T291" s="62">
        <f t="shared" si="170"/>
        <v>332699</v>
      </c>
    </row>
    <row r="292" spans="1:20">
      <c r="A292" s="8"/>
      <c r="B292" s="9"/>
      <c r="C292" s="9"/>
      <c r="D292" s="69"/>
      <c r="E292" s="69">
        <v>112</v>
      </c>
      <c r="F292" s="136" t="s">
        <v>87</v>
      </c>
      <c r="G292" s="26">
        <v>4300</v>
      </c>
      <c r="H292" s="26">
        <v>4300</v>
      </c>
      <c r="I292" s="26">
        <v>4300</v>
      </c>
      <c r="J292" s="105">
        <f t="shared" ref="J292:J308" si="176">M292</f>
        <v>4300</v>
      </c>
      <c r="K292" s="35">
        <f>'1.05.'!M288</f>
        <v>0</v>
      </c>
      <c r="L292" s="27">
        <v>4300</v>
      </c>
      <c r="M292" s="92">
        <f t="shared" si="174"/>
        <v>4300</v>
      </c>
      <c r="N292" s="93">
        <f t="shared" si="175"/>
        <v>0</v>
      </c>
      <c r="O292" s="70">
        <f t="shared" si="171"/>
        <v>100</v>
      </c>
      <c r="P292" s="71">
        <f t="shared" si="167"/>
        <v>0</v>
      </c>
      <c r="Q292" s="35">
        <f t="shared" si="168"/>
        <v>0</v>
      </c>
      <c r="R292" s="72">
        <v>1103844</v>
      </c>
      <c r="S292" s="72">
        <f t="shared" si="169"/>
        <v>0</v>
      </c>
    </row>
    <row r="293" spans="1:20">
      <c r="A293" s="8"/>
      <c r="B293" s="9"/>
      <c r="C293" s="9"/>
      <c r="D293" s="69"/>
      <c r="E293" s="76">
        <v>113</v>
      </c>
      <c r="F293" s="136" t="s">
        <v>88</v>
      </c>
      <c r="G293" s="26">
        <f>19666-5000</f>
        <v>14666</v>
      </c>
      <c r="H293" s="26"/>
      <c r="I293" s="26"/>
      <c r="J293" s="105">
        <f t="shared" si="176"/>
        <v>0</v>
      </c>
      <c r="K293" s="35">
        <f>'1.05.'!M289</f>
        <v>0</v>
      </c>
      <c r="L293" s="27"/>
      <c r="M293" s="92">
        <f t="shared" si="174"/>
        <v>0</v>
      </c>
      <c r="N293" s="93">
        <f t="shared" si="175"/>
        <v>0</v>
      </c>
      <c r="O293" s="70" t="e">
        <f t="shared" si="171"/>
        <v>#DIV/0!</v>
      </c>
      <c r="P293" s="71">
        <f t="shared" si="167"/>
        <v>0</v>
      </c>
      <c r="Q293" s="35">
        <f t="shared" si="168"/>
        <v>0</v>
      </c>
      <c r="R293" s="72">
        <v>1103845</v>
      </c>
      <c r="S293" s="72">
        <f t="shared" si="169"/>
        <v>14666</v>
      </c>
      <c r="T293" s="62">
        <f t="shared" ref="T293" si="177">G293-J293</f>
        <v>14666</v>
      </c>
    </row>
    <row r="294" spans="1:20">
      <c r="A294" s="8"/>
      <c r="B294" s="9"/>
      <c r="C294" s="9"/>
      <c r="D294" s="69"/>
      <c r="E294" s="69">
        <v>116</v>
      </c>
      <c r="F294" s="136" t="s">
        <v>89</v>
      </c>
      <c r="G294" s="26">
        <f>13850-2000-300</f>
        <v>11550</v>
      </c>
      <c r="H294" s="26">
        <v>590</v>
      </c>
      <c r="I294" s="26">
        <v>590</v>
      </c>
      <c r="J294" s="105">
        <f t="shared" si="176"/>
        <v>589.78399999999999</v>
      </c>
      <c r="K294" s="35">
        <f>'1.05.'!M290</f>
        <v>490</v>
      </c>
      <c r="L294" s="27">
        <v>99.784000000000006</v>
      </c>
      <c r="M294" s="92">
        <f>K294+L294</f>
        <v>589.78399999999999</v>
      </c>
      <c r="N294" s="93">
        <f>I294-M294</f>
        <v>0.21600000000000819</v>
      </c>
      <c r="O294" s="70">
        <f>M294/I294*100</f>
        <v>99.963389830508476</v>
      </c>
      <c r="P294" s="71">
        <f t="shared" si="167"/>
        <v>0</v>
      </c>
      <c r="Q294" s="35">
        <f t="shared" si="168"/>
        <v>0.21600000000000819</v>
      </c>
      <c r="R294" s="72">
        <v>1103846</v>
      </c>
      <c r="S294" s="72">
        <f t="shared" si="169"/>
        <v>10960.216</v>
      </c>
    </row>
    <row r="295" spans="1:20">
      <c r="A295" s="8"/>
      <c r="B295" s="9"/>
      <c r="C295" s="9"/>
      <c r="D295" s="69"/>
      <c r="E295" s="69">
        <v>121</v>
      </c>
      <c r="F295" s="136" t="s">
        <v>90</v>
      </c>
      <c r="G295" s="26">
        <f>20498-5000-1000</f>
        <v>14498</v>
      </c>
      <c r="H295" s="26">
        <v>1392</v>
      </c>
      <c r="I295" s="26">
        <v>1392</v>
      </c>
      <c r="J295" s="105">
        <f t="shared" si="176"/>
        <v>1392</v>
      </c>
      <c r="K295" s="35">
        <f>'1.05.'!M291</f>
        <v>792</v>
      </c>
      <c r="L295" s="27">
        <v>600</v>
      </c>
      <c r="M295" s="92">
        <f t="shared" ref="M295:M307" si="178">K295+L295</f>
        <v>1392</v>
      </c>
      <c r="N295" s="93">
        <f t="shared" ref="N295:N308" si="179">I295-M295</f>
        <v>0</v>
      </c>
      <c r="O295" s="70">
        <f t="shared" ref="O295:O308" si="180">M295/I295*100</f>
        <v>100</v>
      </c>
      <c r="P295" s="71">
        <f t="shared" si="167"/>
        <v>0</v>
      </c>
      <c r="Q295" s="35">
        <f t="shared" si="168"/>
        <v>0</v>
      </c>
      <c r="R295" s="72">
        <v>1103847</v>
      </c>
      <c r="S295" s="72">
        <f t="shared" si="169"/>
        <v>13106</v>
      </c>
      <c r="T295" s="62">
        <f t="shared" ref="T295:T304" si="181">G295-J295</f>
        <v>13106</v>
      </c>
    </row>
    <row r="296" spans="1:20" ht="25.5">
      <c r="A296" s="8"/>
      <c r="B296" s="9"/>
      <c r="C296" s="9"/>
      <c r="D296" s="69"/>
      <c r="E296" s="69">
        <v>122</v>
      </c>
      <c r="F296" s="136" t="s">
        <v>91</v>
      </c>
      <c r="G296" s="26">
        <f>17807-5000-711</f>
        <v>12096</v>
      </c>
      <c r="H296" s="26">
        <v>1112</v>
      </c>
      <c r="I296" s="26">
        <v>1112</v>
      </c>
      <c r="J296" s="105">
        <f t="shared" si="176"/>
        <v>1111.9000000000001</v>
      </c>
      <c r="K296" s="35">
        <f>'1.05.'!M292</f>
        <v>723</v>
      </c>
      <c r="L296" s="27">
        <v>388.9</v>
      </c>
      <c r="M296" s="92">
        <f t="shared" si="178"/>
        <v>1111.9000000000001</v>
      </c>
      <c r="N296" s="93">
        <f t="shared" si="179"/>
        <v>9.9999999999909051E-2</v>
      </c>
      <c r="O296" s="70">
        <f t="shared" si="180"/>
        <v>99.991007194244602</v>
      </c>
      <c r="P296" s="71">
        <f t="shared" si="167"/>
        <v>0</v>
      </c>
      <c r="Q296" s="35">
        <f t="shared" si="168"/>
        <v>9.9999999999909051E-2</v>
      </c>
      <c r="R296" s="72">
        <v>1103848</v>
      </c>
      <c r="S296" s="72">
        <f t="shared" si="169"/>
        <v>10984.1</v>
      </c>
      <c r="T296" s="62">
        <f t="shared" si="181"/>
        <v>10984.1</v>
      </c>
    </row>
    <row r="297" spans="1:20">
      <c r="A297" s="8"/>
      <c r="B297" s="9"/>
      <c r="C297" s="9"/>
      <c r="D297" s="69"/>
      <c r="E297" s="69">
        <v>123</v>
      </c>
      <c r="F297" s="136" t="s">
        <v>92</v>
      </c>
      <c r="G297" s="26"/>
      <c r="H297" s="26"/>
      <c r="I297" s="26"/>
      <c r="J297" s="105">
        <f t="shared" si="176"/>
        <v>0</v>
      </c>
      <c r="K297" s="35">
        <f>'1.05.'!M293</f>
        <v>0</v>
      </c>
      <c r="L297" s="27"/>
      <c r="M297" s="92">
        <f t="shared" si="178"/>
        <v>0</v>
      </c>
      <c r="N297" s="93">
        <f t="shared" si="179"/>
        <v>0</v>
      </c>
      <c r="O297" s="70" t="e">
        <f t="shared" si="180"/>
        <v>#DIV/0!</v>
      </c>
      <c r="P297" s="71">
        <f t="shared" si="167"/>
        <v>0</v>
      </c>
      <c r="Q297" s="35">
        <f t="shared" si="168"/>
        <v>0</v>
      </c>
      <c r="R297" s="72">
        <v>1103849</v>
      </c>
      <c r="S297" s="72">
        <f t="shared" si="169"/>
        <v>0</v>
      </c>
      <c r="T297" s="62">
        <f t="shared" si="181"/>
        <v>0</v>
      </c>
    </row>
    <row r="298" spans="1:20">
      <c r="A298" s="9"/>
      <c r="B298" s="9"/>
      <c r="C298" s="9"/>
      <c r="D298" s="69"/>
      <c r="E298" s="69">
        <v>124</v>
      </c>
      <c r="F298" s="136" t="s">
        <v>93</v>
      </c>
      <c r="G298" s="26">
        <f>11872-5000-856</f>
        <v>6016</v>
      </c>
      <c r="H298" s="26">
        <v>733</v>
      </c>
      <c r="I298" s="26">
        <v>733</v>
      </c>
      <c r="J298" s="105">
        <v>733</v>
      </c>
      <c r="K298" s="35">
        <f>'1.05.'!M294</f>
        <v>489</v>
      </c>
      <c r="L298" s="27">
        <v>244</v>
      </c>
      <c r="M298" s="92">
        <f t="shared" si="178"/>
        <v>733</v>
      </c>
      <c r="N298" s="93">
        <f t="shared" si="179"/>
        <v>0</v>
      </c>
      <c r="O298" s="70">
        <f t="shared" si="180"/>
        <v>100</v>
      </c>
      <c r="P298" s="71">
        <f t="shared" si="167"/>
        <v>0</v>
      </c>
      <c r="Q298" s="35">
        <f t="shared" si="168"/>
        <v>0</v>
      </c>
      <c r="R298" s="72">
        <v>1103850</v>
      </c>
      <c r="S298" s="72">
        <f t="shared" si="169"/>
        <v>5283</v>
      </c>
      <c r="T298" s="62">
        <f t="shared" si="181"/>
        <v>5283</v>
      </c>
    </row>
    <row r="299" spans="1:20" s="73" customFormat="1">
      <c r="A299" s="9"/>
      <c r="B299" s="9"/>
      <c r="C299" s="9"/>
      <c r="D299" s="69"/>
      <c r="E299" s="69">
        <v>141</v>
      </c>
      <c r="F299" s="136" t="s">
        <v>116</v>
      </c>
      <c r="G299" s="26">
        <f>42256-747</f>
        <v>41509</v>
      </c>
      <c r="H299" s="26">
        <v>28688</v>
      </c>
      <c r="I299" s="26"/>
      <c r="J299" s="105">
        <v>28687.968499999999</v>
      </c>
      <c r="K299" s="35">
        <f>'1.05.'!M295</f>
        <v>0</v>
      </c>
      <c r="L299" s="27"/>
      <c r="M299" s="92">
        <f t="shared" si="178"/>
        <v>0</v>
      </c>
      <c r="N299" s="93">
        <f t="shared" si="179"/>
        <v>0</v>
      </c>
      <c r="O299" s="70" t="e">
        <f t="shared" si="180"/>
        <v>#DIV/0!</v>
      </c>
      <c r="P299" s="71">
        <f t="shared" si="167"/>
        <v>28687.968499999999</v>
      </c>
      <c r="Q299" s="35">
        <f t="shared" si="168"/>
        <v>3.1500000000960426E-2</v>
      </c>
      <c r="R299" s="72">
        <v>1103851</v>
      </c>
      <c r="S299" s="72">
        <f t="shared" si="169"/>
        <v>41509</v>
      </c>
      <c r="T299" s="62">
        <f t="shared" si="181"/>
        <v>12821.031500000001</v>
      </c>
    </row>
    <row r="300" spans="1:20" ht="25.5">
      <c r="A300" s="9"/>
      <c r="B300" s="9"/>
      <c r="C300" s="9"/>
      <c r="D300" s="69"/>
      <c r="E300" s="69">
        <v>142</v>
      </c>
      <c r="F300" s="136" t="s">
        <v>122</v>
      </c>
      <c r="G300" s="26">
        <v>3014</v>
      </c>
      <c r="H300" s="26"/>
      <c r="I300" s="26"/>
      <c r="J300" s="105">
        <f t="shared" si="176"/>
        <v>0</v>
      </c>
      <c r="K300" s="35">
        <f>'1.05.'!M296</f>
        <v>0</v>
      </c>
      <c r="L300" s="27"/>
      <c r="M300" s="92">
        <f t="shared" si="178"/>
        <v>0</v>
      </c>
      <c r="N300" s="93">
        <f t="shared" si="179"/>
        <v>0</v>
      </c>
      <c r="O300" s="70" t="e">
        <f t="shared" si="180"/>
        <v>#DIV/0!</v>
      </c>
      <c r="P300" s="71">
        <f t="shared" si="167"/>
        <v>0</v>
      </c>
      <c r="Q300" s="35">
        <f t="shared" si="168"/>
        <v>0</v>
      </c>
      <c r="R300" s="72">
        <v>1103852</v>
      </c>
      <c r="S300" s="72">
        <f t="shared" si="169"/>
        <v>3014</v>
      </c>
      <c r="T300" s="62">
        <f t="shared" si="181"/>
        <v>3014</v>
      </c>
    </row>
    <row r="301" spans="1:20">
      <c r="A301" s="9"/>
      <c r="B301" s="9"/>
      <c r="C301" s="9"/>
      <c r="D301" s="69"/>
      <c r="E301" s="69">
        <v>144</v>
      </c>
      <c r="F301" s="136" t="s">
        <v>97</v>
      </c>
      <c r="G301" s="26">
        <v>400</v>
      </c>
      <c r="H301" s="26">
        <v>400</v>
      </c>
      <c r="I301" s="26"/>
      <c r="J301" s="105">
        <v>399.99793</v>
      </c>
      <c r="K301" s="35">
        <f>'1.05.'!M297</f>
        <v>0</v>
      </c>
      <c r="L301" s="27"/>
      <c r="M301" s="92">
        <f t="shared" si="178"/>
        <v>0</v>
      </c>
      <c r="N301" s="93">
        <f t="shared" si="179"/>
        <v>0</v>
      </c>
      <c r="O301" s="70" t="e">
        <f t="shared" si="180"/>
        <v>#DIV/0!</v>
      </c>
      <c r="P301" s="71">
        <f t="shared" si="167"/>
        <v>399.99793</v>
      </c>
      <c r="Q301" s="35">
        <f t="shared" si="168"/>
        <v>2.0700000000033469E-3</v>
      </c>
      <c r="R301" s="72">
        <v>1103853</v>
      </c>
      <c r="S301" s="72">
        <f t="shared" si="169"/>
        <v>400</v>
      </c>
      <c r="T301" s="62">
        <f t="shared" si="181"/>
        <v>2.0700000000033469E-3</v>
      </c>
    </row>
    <row r="302" spans="1:20">
      <c r="A302" s="9"/>
      <c r="B302" s="9"/>
      <c r="C302" s="9"/>
      <c r="D302" s="69"/>
      <c r="E302" s="69">
        <v>149</v>
      </c>
      <c r="F302" s="136" t="s">
        <v>98</v>
      </c>
      <c r="G302" s="26">
        <v>7350</v>
      </c>
      <c r="H302" s="26">
        <v>5810.6</v>
      </c>
      <c r="I302" s="26">
        <v>5810.6</v>
      </c>
      <c r="J302" s="105">
        <v>5810.6</v>
      </c>
      <c r="K302" s="35">
        <f>'1.05.'!M298</f>
        <v>794</v>
      </c>
      <c r="L302" s="27">
        <v>5016.6000000000004</v>
      </c>
      <c r="M302" s="92">
        <f t="shared" si="178"/>
        <v>5810.6</v>
      </c>
      <c r="N302" s="93">
        <f>I302-M302</f>
        <v>0</v>
      </c>
      <c r="O302" s="70">
        <f t="shared" si="180"/>
        <v>100</v>
      </c>
      <c r="P302" s="71">
        <f t="shared" si="167"/>
        <v>0</v>
      </c>
      <c r="Q302" s="35">
        <f t="shared" si="168"/>
        <v>0</v>
      </c>
      <c r="R302" s="72">
        <v>1103854</v>
      </c>
      <c r="S302" s="72">
        <f t="shared" si="169"/>
        <v>1539.3999999999996</v>
      </c>
      <c r="T302" s="62">
        <f t="shared" si="181"/>
        <v>1539.3999999999996</v>
      </c>
    </row>
    <row r="303" spans="1:20">
      <c r="A303" s="9"/>
      <c r="B303" s="9"/>
      <c r="C303" s="9"/>
      <c r="D303" s="69"/>
      <c r="E303" s="69">
        <v>151</v>
      </c>
      <c r="F303" s="136" t="s">
        <v>99</v>
      </c>
      <c r="G303" s="26">
        <v>46563</v>
      </c>
      <c r="H303" s="26">
        <v>15436.7</v>
      </c>
      <c r="I303" s="26">
        <v>15436.7</v>
      </c>
      <c r="J303" s="105">
        <f t="shared" si="176"/>
        <v>15436.7</v>
      </c>
      <c r="K303" s="35">
        <f>'1.05.'!M299</f>
        <v>15436.7</v>
      </c>
      <c r="L303" s="27"/>
      <c r="M303" s="92">
        <f t="shared" si="178"/>
        <v>15436.7</v>
      </c>
      <c r="N303" s="93">
        <f t="shared" si="179"/>
        <v>0</v>
      </c>
      <c r="O303" s="70">
        <f t="shared" si="180"/>
        <v>100</v>
      </c>
      <c r="P303" s="71">
        <f t="shared" si="167"/>
        <v>0</v>
      </c>
      <c r="Q303" s="35">
        <f t="shared" si="168"/>
        <v>0</v>
      </c>
      <c r="R303" s="72">
        <v>1103855</v>
      </c>
      <c r="S303" s="72">
        <f t="shared" si="169"/>
        <v>31126.3</v>
      </c>
      <c r="T303" s="62">
        <f t="shared" si="181"/>
        <v>31126.3</v>
      </c>
    </row>
    <row r="304" spans="1:20" hidden="1">
      <c r="A304" s="9"/>
      <c r="B304" s="9"/>
      <c r="C304" s="9"/>
      <c r="D304" s="69"/>
      <c r="E304" s="69">
        <v>152</v>
      </c>
      <c r="F304" s="136" t="s">
        <v>100</v>
      </c>
      <c r="G304" s="26"/>
      <c r="H304" s="26"/>
      <c r="I304" s="26"/>
      <c r="J304" s="105">
        <f t="shared" si="176"/>
        <v>0</v>
      </c>
      <c r="K304" s="35">
        <f>'1.05.'!M300</f>
        <v>0</v>
      </c>
      <c r="L304" s="27"/>
      <c r="M304" s="92">
        <f t="shared" si="178"/>
        <v>0</v>
      </c>
      <c r="N304" s="93">
        <f t="shared" si="179"/>
        <v>0</v>
      </c>
      <c r="O304" s="70" t="e">
        <f t="shared" si="180"/>
        <v>#DIV/0!</v>
      </c>
      <c r="P304" s="71">
        <f t="shared" si="167"/>
        <v>0</v>
      </c>
      <c r="Q304" s="35">
        <f t="shared" si="168"/>
        <v>0</v>
      </c>
      <c r="R304" s="72">
        <v>1103856</v>
      </c>
      <c r="S304" s="72">
        <f t="shared" si="169"/>
        <v>0</v>
      </c>
      <c r="T304" s="62">
        <f t="shared" si="181"/>
        <v>0</v>
      </c>
    </row>
    <row r="305" spans="1:20" ht="25.5">
      <c r="A305" s="9"/>
      <c r="B305" s="9"/>
      <c r="C305" s="9"/>
      <c r="D305" s="69"/>
      <c r="E305" s="69">
        <v>158</v>
      </c>
      <c r="F305" s="136" t="s">
        <v>101</v>
      </c>
      <c r="G305" s="26">
        <v>730</v>
      </c>
      <c r="H305" s="26">
        <v>730</v>
      </c>
      <c r="I305" s="26">
        <v>244</v>
      </c>
      <c r="J305" s="105">
        <v>730</v>
      </c>
      <c r="K305" s="35">
        <f>'1.05.'!M301</f>
        <v>183</v>
      </c>
      <c r="L305" s="27">
        <v>61</v>
      </c>
      <c r="M305" s="92">
        <f t="shared" si="178"/>
        <v>244</v>
      </c>
      <c r="N305" s="93">
        <f t="shared" si="179"/>
        <v>0</v>
      </c>
      <c r="O305" s="70">
        <f t="shared" si="180"/>
        <v>100</v>
      </c>
      <c r="P305" s="71">
        <f t="shared" si="167"/>
        <v>486</v>
      </c>
      <c r="Q305" s="35">
        <f t="shared" si="168"/>
        <v>0</v>
      </c>
      <c r="R305" s="72">
        <v>1103857</v>
      </c>
      <c r="S305" s="72">
        <f t="shared" si="169"/>
        <v>486</v>
      </c>
    </row>
    <row r="306" spans="1:20">
      <c r="A306" s="9"/>
      <c r="B306" s="9"/>
      <c r="C306" s="9"/>
      <c r="D306" s="69"/>
      <c r="E306" s="69">
        <v>159</v>
      </c>
      <c r="F306" s="136" t="s">
        <v>84</v>
      </c>
      <c r="G306" s="26">
        <v>24280</v>
      </c>
      <c r="H306" s="26">
        <v>20751.2</v>
      </c>
      <c r="I306" s="26">
        <v>4189</v>
      </c>
      <c r="J306" s="105">
        <v>20578.315979999999</v>
      </c>
      <c r="K306" s="35">
        <f>'1.05.'!M302</f>
        <v>2388.9580000000001</v>
      </c>
      <c r="L306" s="27">
        <v>1800</v>
      </c>
      <c r="M306" s="92">
        <f t="shared" si="178"/>
        <v>4188.9580000000005</v>
      </c>
      <c r="N306" s="93">
        <f t="shared" si="179"/>
        <v>4.1999999999461579E-2</v>
      </c>
      <c r="O306" s="70">
        <f t="shared" si="180"/>
        <v>99.998997374074975</v>
      </c>
      <c r="P306" s="71">
        <f t="shared" si="167"/>
        <v>16389.357980000001</v>
      </c>
      <c r="Q306" s="35">
        <f t="shared" si="168"/>
        <v>172.88402000000133</v>
      </c>
      <c r="R306" s="72">
        <v>1103858</v>
      </c>
      <c r="S306" s="72">
        <f t="shared" si="169"/>
        <v>20091.042000000001</v>
      </c>
      <c r="T306" s="62">
        <f t="shared" ref="T306:T308" si="182">G306-J306</f>
        <v>3701.6840200000006</v>
      </c>
    </row>
    <row r="307" spans="1:20">
      <c r="A307" s="9"/>
      <c r="B307" s="9"/>
      <c r="C307" s="9"/>
      <c r="D307" s="69"/>
      <c r="E307" s="69">
        <v>161</v>
      </c>
      <c r="F307" s="136" t="s">
        <v>102</v>
      </c>
      <c r="G307" s="26">
        <v>747</v>
      </c>
      <c r="H307" s="26">
        <v>747</v>
      </c>
      <c r="I307" s="26">
        <v>747</v>
      </c>
      <c r="J307" s="105">
        <f t="shared" si="176"/>
        <v>747</v>
      </c>
      <c r="K307" s="35">
        <f>'1.05.'!M303</f>
        <v>0</v>
      </c>
      <c r="L307" s="27">
        <v>747</v>
      </c>
      <c r="M307" s="92">
        <f t="shared" si="178"/>
        <v>747</v>
      </c>
      <c r="N307" s="93">
        <f t="shared" si="179"/>
        <v>0</v>
      </c>
      <c r="O307" s="70">
        <f t="shared" si="180"/>
        <v>100</v>
      </c>
      <c r="P307" s="71">
        <f t="shared" si="167"/>
        <v>0</v>
      </c>
      <c r="Q307" s="35">
        <f t="shared" si="168"/>
        <v>0</v>
      </c>
      <c r="R307" s="72">
        <v>1103859</v>
      </c>
      <c r="S307" s="72">
        <f t="shared" si="169"/>
        <v>0</v>
      </c>
      <c r="T307" s="62">
        <f t="shared" si="182"/>
        <v>0</v>
      </c>
    </row>
    <row r="308" spans="1:20">
      <c r="A308" s="9"/>
      <c r="B308" s="9"/>
      <c r="C308" s="9"/>
      <c r="D308" s="69"/>
      <c r="E308" s="69">
        <v>169</v>
      </c>
      <c r="F308" s="136" t="s">
        <v>103</v>
      </c>
      <c r="G308" s="26"/>
      <c r="H308" s="26"/>
      <c r="I308" s="26"/>
      <c r="J308" s="105">
        <f t="shared" si="176"/>
        <v>0</v>
      </c>
      <c r="K308" s="35">
        <f>'1.05.'!M304</f>
        <v>0</v>
      </c>
      <c r="L308" s="27"/>
      <c r="M308" s="92">
        <f>K308+L308</f>
        <v>0</v>
      </c>
      <c r="N308" s="93">
        <f t="shared" si="179"/>
        <v>0</v>
      </c>
      <c r="O308" s="70" t="e">
        <f t="shared" si="180"/>
        <v>#DIV/0!</v>
      </c>
      <c r="P308" s="71">
        <f t="shared" si="167"/>
        <v>0</v>
      </c>
      <c r="Q308" s="35">
        <f t="shared" si="168"/>
        <v>0</v>
      </c>
      <c r="R308" s="72">
        <v>1103860</v>
      </c>
      <c r="S308" s="72">
        <f t="shared" si="169"/>
        <v>0</v>
      </c>
      <c r="T308" s="62">
        <f t="shared" si="182"/>
        <v>0</v>
      </c>
    </row>
    <row r="309" spans="1:20" ht="25.5">
      <c r="A309" s="100"/>
      <c r="B309" s="15"/>
      <c r="C309" s="57" t="s">
        <v>43</v>
      </c>
      <c r="D309" s="16"/>
      <c r="E309" s="20"/>
      <c r="F309" s="139" t="s">
        <v>119</v>
      </c>
      <c r="G309" s="59">
        <f t="shared" ref="G309:N309" si="183">G310</f>
        <v>56947</v>
      </c>
      <c r="H309" s="59">
        <f t="shared" si="183"/>
        <v>28173</v>
      </c>
      <c r="I309" s="59">
        <f t="shared" si="183"/>
        <v>22277.3</v>
      </c>
      <c r="J309" s="29">
        <f t="shared" si="183"/>
        <v>27605.00158</v>
      </c>
      <c r="K309" s="35">
        <f>'1.02.'!M290</f>
        <v>0</v>
      </c>
      <c r="L309" s="59"/>
      <c r="M309" s="29">
        <f t="shared" si="183"/>
        <v>16362.86699</v>
      </c>
      <c r="N309" s="29">
        <f t="shared" si="183"/>
        <v>5914.4330099999988</v>
      </c>
      <c r="O309" s="70"/>
      <c r="P309" s="71">
        <f t="shared" si="167"/>
        <v>11242.13459</v>
      </c>
      <c r="Q309" s="35">
        <f t="shared" si="168"/>
        <v>567.9984199999999</v>
      </c>
      <c r="R309" s="72">
        <v>1103861</v>
      </c>
      <c r="S309" s="72">
        <f t="shared" si="169"/>
        <v>40584.133009999998</v>
      </c>
    </row>
    <row r="310" spans="1:20">
      <c r="A310" s="9"/>
      <c r="B310" s="12"/>
      <c r="C310" s="12"/>
      <c r="D310" s="11" t="s">
        <v>7</v>
      </c>
      <c r="E310" s="97"/>
      <c r="F310" s="122" t="s">
        <v>85</v>
      </c>
      <c r="G310" s="98">
        <f>G311+G312+G313</f>
        <v>56947</v>
      </c>
      <c r="H310" s="98">
        <f t="shared" ref="H310:I310" si="184">H311+H312+H313</f>
        <v>28173</v>
      </c>
      <c r="I310" s="98">
        <f t="shared" si="184"/>
        <v>22277.3</v>
      </c>
      <c r="J310" s="32">
        <f>J311+J312+J313</f>
        <v>27605.00158</v>
      </c>
      <c r="K310" s="35">
        <f>'1.02.'!M291</f>
        <v>0</v>
      </c>
      <c r="L310" s="32">
        <f t="shared" ref="L310:N310" si="185">L311+L312+L313</f>
        <v>13662.86699</v>
      </c>
      <c r="M310" s="32">
        <f t="shared" si="185"/>
        <v>16362.86699</v>
      </c>
      <c r="N310" s="32">
        <f t="shared" si="185"/>
        <v>5914.4330099999988</v>
      </c>
      <c r="O310" s="68">
        <f>M310/I310*100</f>
        <v>73.450853514564159</v>
      </c>
      <c r="P310" s="71">
        <f t="shared" si="167"/>
        <v>11242.13459</v>
      </c>
      <c r="Q310" s="35">
        <f t="shared" si="168"/>
        <v>567.9984199999999</v>
      </c>
      <c r="R310" s="72">
        <v>1103862</v>
      </c>
      <c r="S310" s="72">
        <f t="shared" si="169"/>
        <v>40584.133009999998</v>
      </c>
      <c r="T310" s="62">
        <f>G310-J310</f>
        <v>29341.99842</v>
      </c>
    </row>
    <row r="311" spans="1:20" ht="25.5">
      <c r="A311" s="9"/>
      <c r="B311" s="13"/>
      <c r="C311" s="13"/>
      <c r="D311" s="14"/>
      <c r="E311" s="20">
        <v>414</v>
      </c>
      <c r="F311" s="50" t="s">
        <v>105</v>
      </c>
      <c r="G311" s="37">
        <f>56947-849</f>
        <v>56098</v>
      </c>
      <c r="H311" s="37">
        <v>27324</v>
      </c>
      <c r="I311" s="37">
        <v>22277.3</v>
      </c>
      <c r="J311" s="75">
        <v>26756.031579999999</v>
      </c>
      <c r="K311" s="35">
        <f>'1.05.'!M308</f>
        <v>2700</v>
      </c>
      <c r="L311" s="35">
        <v>13662.86699</v>
      </c>
      <c r="M311" s="92">
        <f>K311+L311</f>
        <v>16362.86699</v>
      </c>
      <c r="N311" s="93">
        <f t="shared" ref="N311" si="186">I311-M311</f>
        <v>5914.4330099999988</v>
      </c>
      <c r="O311" s="70"/>
      <c r="P311" s="71">
        <f t="shared" ref="P311" si="187">J311-M311</f>
        <v>10393.164589999998</v>
      </c>
      <c r="Q311" s="35">
        <f t="shared" ref="Q311" si="188">H311-J311</f>
        <v>567.96842000000106</v>
      </c>
      <c r="R311" s="72">
        <v>1103864</v>
      </c>
      <c r="S311" s="72">
        <f t="shared" ref="S311" si="189">G311-M311</f>
        <v>39735.133009999998</v>
      </c>
    </row>
    <row r="312" spans="1:20">
      <c r="A312" s="9"/>
      <c r="B312" s="13"/>
      <c r="C312" s="13"/>
      <c r="D312" s="14"/>
      <c r="E312" s="20">
        <v>419</v>
      </c>
      <c r="F312" s="86" t="s">
        <v>153</v>
      </c>
      <c r="G312" s="37">
        <v>849</v>
      </c>
      <c r="H312" s="37">
        <v>849</v>
      </c>
      <c r="I312" s="37"/>
      <c r="J312" s="75">
        <v>848.97</v>
      </c>
      <c r="K312" s="35">
        <v>0</v>
      </c>
      <c r="L312" s="37"/>
      <c r="M312" s="92">
        <f>K312+L312</f>
        <v>0</v>
      </c>
      <c r="N312" s="93">
        <f t="shared" ref="N312:N313" si="190">I312-M312</f>
        <v>0</v>
      </c>
      <c r="O312" s="70"/>
      <c r="P312" s="71">
        <f t="shared" si="167"/>
        <v>848.97</v>
      </c>
      <c r="Q312" s="35">
        <f t="shared" si="168"/>
        <v>2.9999999999972715E-2</v>
      </c>
      <c r="R312" s="72">
        <v>1103864</v>
      </c>
      <c r="S312" s="72">
        <f t="shared" si="169"/>
        <v>849</v>
      </c>
    </row>
    <row r="313" spans="1:20" ht="25.5" hidden="1">
      <c r="A313" s="100"/>
      <c r="B313" s="15"/>
      <c r="C313" s="15"/>
      <c r="D313" s="16"/>
      <c r="E313" s="20">
        <v>421</v>
      </c>
      <c r="F313" s="3" t="s">
        <v>60</v>
      </c>
      <c r="G313" s="37"/>
      <c r="H313" s="37"/>
      <c r="I313" s="37"/>
      <c r="J313" s="75"/>
      <c r="K313" s="35"/>
      <c r="L313" s="35"/>
      <c r="M313" s="92">
        <f t="shared" ref="M313" si="191">K313+L313</f>
        <v>0</v>
      </c>
      <c r="N313" s="93">
        <f t="shared" si="190"/>
        <v>0</v>
      </c>
      <c r="O313" s="70" t="e">
        <f t="shared" ref="O313" si="192">M313/I313*100</f>
        <v>#DIV/0!</v>
      </c>
      <c r="P313" s="71">
        <f t="shared" si="167"/>
        <v>0</v>
      </c>
      <c r="Q313" s="35">
        <f t="shared" si="168"/>
        <v>0</v>
      </c>
      <c r="R313" s="72">
        <v>1103865</v>
      </c>
      <c r="S313" s="72">
        <f t="shared" si="169"/>
        <v>0</v>
      </c>
    </row>
    <row r="352" spans="6:6">
      <c r="F352" s="73" t="s">
        <v>27</v>
      </c>
    </row>
  </sheetData>
  <mergeCells count="16">
    <mergeCell ref="F3:F4"/>
    <mergeCell ref="A3:A4"/>
    <mergeCell ref="B3:B4"/>
    <mergeCell ref="C3:C4"/>
    <mergeCell ref="D3:D4"/>
    <mergeCell ref="E3:E4"/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353"/>
  <sheetViews>
    <sheetView view="pageBreakPreview" zoomScaleSheetLayoutView="100" workbookViewId="0">
      <pane xSplit="6" ySplit="4" topLeftCell="G275" activePane="bottomRight" state="frozen"/>
      <selection pane="topRight" activeCell="G1" sqref="G1"/>
      <selection pane="bottomLeft" activeCell="A5" sqref="A5"/>
      <selection pane="bottomRight" sqref="A1:XFD1048576"/>
    </sheetView>
  </sheetViews>
  <sheetFormatPr defaultRowHeight="12.75"/>
  <cols>
    <col min="1" max="1" width="4.7109375" style="6" customWidth="1"/>
    <col min="2" max="2" width="4.42578125" style="6" customWidth="1"/>
    <col min="3" max="3" width="4.140625" style="6" customWidth="1"/>
    <col min="4" max="4" width="4.5703125" style="6" customWidth="1"/>
    <col min="5" max="5" width="4.85546875" style="6" customWidth="1"/>
    <col min="6" max="6" width="56.710937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42578125" style="62" customWidth="1"/>
    <col min="11" max="11" width="15.85546875" style="62" customWidth="1"/>
    <col min="12" max="12" width="16.28515625" style="62" customWidth="1"/>
    <col min="13" max="13" width="15.85546875" style="63" customWidth="1"/>
    <col min="14" max="14" width="15.42578125" style="62" customWidth="1"/>
    <col min="15" max="15" width="7.1406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161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8" t="s">
        <v>139</v>
      </c>
      <c r="I4" s="128" t="s">
        <v>140</v>
      </c>
      <c r="J4" s="144"/>
      <c r="K4" s="128" t="s">
        <v>143</v>
      </c>
      <c r="L4" s="128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>G6+G109+G130+G153+G180+G206+G230+G281</f>
        <v>17032809</v>
      </c>
      <c r="H5" s="40">
        <f t="shared" ref="H5:N5" si="0">H6+H109+H130+H153+H180+H206+H230+H281</f>
        <v>6232358.1000000006</v>
      </c>
      <c r="I5" s="40">
        <f t="shared" si="0"/>
        <v>5641806.3000000007</v>
      </c>
      <c r="J5" s="24">
        <f t="shared" si="0"/>
        <v>6113189.1766300006</v>
      </c>
      <c r="K5" s="24">
        <f t="shared" si="0"/>
        <v>701138.33851000003</v>
      </c>
      <c r="L5" s="40">
        <f t="shared" si="0"/>
        <v>1347483.6062900003</v>
      </c>
      <c r="M5" s="24">
        <f t="shared" si="0"/>
        <v>5620298.2652000003</v>
      </c>
      <c r="N5" s="24">
        <f t="shared" si="0"/>
        <v>21508.034800000096</v>
      </c>
      <c r="O5" s="66">
        <f>M5/I5*100</f>
        <v>99.618773958971246</v>
      </c>
      <c r="P5" s="60">
        <f t="shared" ref="P5:P8" si="1">J5-M5</f>
        <v>492890.91143000033</v>
      </c>
      <c r="Q5" s="29">
        <f t="shared" ref="Q5:Q8" si="2">H5-J5</f>
        <v>119168.92336999997</v>
      </c>
      <c r="R5" s="74">
        <v>1103576</v>
      </c>
      <c r="S5" s="74">
        <f t="shared" ref="S5:S8" si="3">G5-M5</f>
        <v>11412510.7348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G7+G13+G35+G39+G42+G45+G102+G106</f>
        <v>5070963</v>
      </c>
      <c r="H6" s="42">
        <f>H7+H13+H35+H39+H42+H45+H102+H106</f>
        <v>1947545.6000000001</v>
      </c>
      <c r="I6" s="42">
        <f>I7+I13+I35+I39+I42+I45+I102+I106</f>
        <v>1853045.0999999999</v>
      </c>
      <c r="J6" s="29">
        <f>J7+J13+J35+J39+J42+J45+J102+J106</f>
        <v>1865455.0619000001</v>
      </c>
      <c r="K6" s="29">
        <f>'1.02.'!M6</f>
        <v>305263.96490999998</v>
      </c>
      <c r="L6" s="42">
        <f>L7+L13+L35+L39+L42+L45+L102+L106</f>
        <v>522853.13962999999</v>
      </c>
      <c r="M6" s="29">
        <f>M7+M13+M35+M39+M42+M45+M102+M106</f>
        <v>1852916.5221300002</v>
      </c>
      <c r="N6" s="29">
        <f>N7+N13+N35+N39+N42+N45+N102+N106</f>
        <v>128.57786999999797</v>
      </c>
      <c r="O6" s="66">
        <f t="shared" ref="O6:O70" si="4">M6/I6*100</f>
        <v>99.993061266021016</v>
      </c>
      <c r="P6" s="60">
        <f t="shared" si="1"/>
        <v>12538.539769999916</v>
      </c>
      <c r="Q6" s="29">
        <f t="shared" si="2"/>
        <v>82090.538100000005</v>
      </c>
      <c r="R6" s="74">
        <v>1103577</v>
      </c>
      <c r="S6" s="74">
        <f t="shared" si="3"/>
        <v>3218046.4778699996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810958.5</v>
      </c>
      <c r="I7" s="42">
        <f t="shared" si="5"/>
        <v>810403.5</v>
      </c>
      <c r="J7" s="29">
        <f t="shared" si="5"/>
        <v>810403.40621000004</v>
      </c>
      <c r="K7" s="29">
        <f>'1.02.'!M7</f>
        <v>164988.70772999999</v>
      </c>
      <c r="L7" s="42">
        <f t="shared" si="5"/>
        <v>223835</v>
      </c>
      <c r="M7" s="29">
        <f t="shared" si="5"/>
        <v>810403.40621000004</v>
      </c>
      <c r="N7" s="29">
        <f t="shared" si="5"/>
        <v>9.3789999998989515E-2</v>
      </c>
      <c r="O7" s="68">
        <f t="shared" si="4"/>
        <v>99.99998842675285</v>
      </c>
      <c r="P7" s="60">
        <f t="shared" si="1"/>
        <v>0</v>
      </c>
      <c r="Q7" s="29">
        <f t="shared" si="2"/>
        <v>555.09378999995533</v>
      </c>
      <c r="R7" s="74">
        <v>1103578</v>
      </c>
      <c r="S7" s="74">
        <f t="shared" si="3"/>
        <v>1239851.5937899998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784539</v>
      </c>
      <c r="I8" s="59">
        <f t="shared" si="6"/>
        <v>784539</v>
      </c>
      <c r="J8" s="33">
        <f>J9</f>
        <v>784539</v>
      </c>
      <c r="K8" s="29">
        <f>'1.02.'!M8</f>
        <v>150000</v>
      </c>
      <c r="L8" s="29">
        <f t="shared" si="6"/>
        <v>223835</v>
      </c>
      <c r="M8" s="29">
        <f t="shared" si="6"/>
        <v>784539</v>
      </c>
      <c r="N8" s="29">
        <f t="shared" si="6"/>
        <v>0</v>
      </c>
      <c r="O8" s="68">
        <f t="shared" si="4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1230435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784539</v>
      </c>
      <c r="I9" s="37">
        <v>784539</v>
      </c>
      <c r="J9" s="75">
        <v>784539</v>
      </c>
      <c r="K9" s="35">
        <f>'1.06.'!M9</f>
        <v>560704</v>
      </c>
      <c r="L9" s="35">
        <v>223835</v>
      </c>
      <c r="M9" s="35">
        <f>K9+L9</f>
        <v>784539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1230435</v>
      </c>
      <c r="T9" s="62">
        <f>G9-J9</f>
        <v>1230435</v>
      </c>
    </row>
    <row r="10" spans="1:20" s="73" customFormat="1" ht="38.25" customHeight="1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26419.5</v>
      </c>
      <c r="I10" s="59">
        <f t="shared" si="7"/>
        <v>25864.5</v>
      </c>
      <c r="J10" s="33">
        <f>J11+J12</f>
        <v>25864.406210000001</v>
      </c>
      <c r="K10" s="29">
        <f>'1.02.'!M10</f>
        <v>14988.70773</v>
      </c>
      <c r="L10" s="29">
        <f t="shared" si="7"/>
        <v>0</v>
      </c>
      <c r="M10" s="29">
        <f t="shared" si="7"/>
        <v>25864.406210000001</v>
      </c>
      <c r="N10" s="29">
        <f t="shared" si="7"/>
        <v>9.3789999998989515E-2</v>
      </c>
      <c r="O10" s="68">
        <f t="shared" si="4"/>
        <v>99.999637379419667</v>
      </c>
      <c r="P10" s="60">
        <f t="shared" ref="P10:P74" si="8">J10-M10</f>
        <v>0</v>
      </c>
      <c r="Q10" s="29">
        <f t="shared" ref="Q10:Q74" si="9">H10-J10</f>
        <v>555.09378999999899</v>
      </c>
      <c r="R10" s="74">
        <v>1103581</v>
      </c>
      <c r="S10" s="74">
        <f t="shared" ref="S10:S74" si="10">G10-M10</f>
        <v>9416.593789999999</v>
      </c>
      <c r="T10" s="62">
        <f t="shared" ref="T10:T45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'1.06.'!M11</f>
        <v>1190</v>
      </c>
      <c r="L11" s="35"/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'1.06.'!M12</f>
        <v>24674.406210000001</v>
      </c>
      <c r="L12" s="35"/>
      <c r="M12" s="35">
        <f>K12+L12</f>
        <v>24674.406210000001</v>
      </c>
      <c r="N12" s="35">
        <f>I12-M12</f>
        <v>9.3789999998989515E-2</v>
      </c>
      <c r="O12" s="70">
        <f t="shared" si="4"/>
        <v>99.999619890980568</v>
      </c>
      <c r="P12" s="71">
        <f t="shared" si="8"/>
        <v>0</v>
      </c>
      <c r="Q12" s="35">
        <f t="shared" si="9"/>
        <v>9.3789999998989515E-2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38.25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260651</v>
      </c>
      <c r="H13" s="33">
        <f t="shared" si="12"/>
        <v>136478.40000000002</v>
      </c>
      <c r="I13" s="33">
        <f t="shared" si="12"/>
        <v>131834.20000000001</v>
      </c>
      <c r="J13" s="29">
        <f t="shared" si="12"/>
        <v>136351.15140999999</v>
      </c>
      <c r="K13" s="29">
        <f>'1.02.'!M13</f>
        <v>15275.257180000001</v>
      </c>
      <c r="L13" s="29">
        <f t="shared" si="12"/>
        <v>16026.64597</v>
      </c>
      <c r="M13" s="29">
        <f t="shared" si="12"/>
        <v>131705.92226000002</v>
      </c>
      <c r="N13" s="29">
        <f t="shared" si="12"/>
        <v>128.27773999999926</v>
      </c>
      <c r="O13" s="68">
        <f t="shared" si="4"/>
        <v>99.902697676323754</v>
      </c>
      <c r="P13" s="71">
        <f t="shared" si="8"/>
        <v>4645.2291499999701</v>
      </c>
      <c r="Q13" s="35">
        <f t="shared" si="9"/>
        <v>127.24859000003198</v>
      </c>
      <c r="R13" s="72">
        <v>1103584</v>
      </c>
      <c r="S13" s="72">
        <f t="shared" si="10"/>
        <v>128945.07773999998</v>
      </c>
      <c r="T13" s="62">
        <f t="shared" si="11"/>
        <v>124299.84859000001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SUM(G15:G34)</f>
        <v>260651</v>
      </c>
      <c r="H14" s="59">
        <f t="shared" ref="H14:K14" si="13">SUM(H15:H34)</f>
        <v>136478.40000000002</v>
      </c>
      <c r="I14" s="59">
        <f t="shared" si="13"/>
        <v>131834.20000000001</v>
      </c>
      <c r="J14" s="29">
        <f t="shared" si="13"/>
        <v>136351.15140999999</v>
      </c>
      <c r="K14" s="29">
        <f t="shared" si="13"/>
        <v>115679.27628999998</v>
      </c>
      <c r="L14" s="29">
        <f>SUM(L15:L34)</f>
        <v>16026.64597</v>
      </c>
      <c r="M14" s="29">
        <f t="shared" ref="M14:N14" si="14">SUM(M15:M34)</f>
        <v>131705.92226000002</v>
      </c>
      <c r="N14" s="29">
        <f t="shared" si="14"/>
        <v>128.27773999999926</v>
      </c>
      <c r="O14" s="68">
        <f t="shared" si="4"/>
        <v>99.902697676323754</v>
      </c>
      <c r="P14" s="35">
        <f t="shared" si="8"/>
        <v>4645.2291499999701</v>
      </c>
      <c r="Q14" s="35">
        <f t="shared" si="9"/>
        <v>127.24859000003198</v>
      </c>
      <c r="R14" s="72">
        <v>1103585</v>
      </c>
      <c r="S14" s="72">
        <f t="shared" si="10"/>
        <v>128945.07773999998</v>
      </c>
      <c r="T14" s="62">
        <f>G14-J14</f>
        <v>124299.84859000001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121539-1020-413.7</f>
        <v>120105.3</v>
      </c>
      <c r="H15" s="26">
        <v>58566.3</v>
      </c>
      <c r="I15" s="26">
        <v>58566.3</v>
      </c>
      <c r="J15" s="75">
        <f t="shared" ref="J15:J34" si="15">M15</f>
        <v>58566.3</v>
      </c>
      <c r="K15" s="35">
        <f>'1.06.'!M15</f>
        <v>48566.3</v>
      </c>
      <c r="L15" s="27">
        <v>10000</v>
      </c>
      <c r="M15" s="35">
        <f>K15+L15</f>
        <v>58566.3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61539</v>
      </c>
      <c r="T15" s="62">
        <f t="shared" si="11"/>
        <v>61539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17318+7540+642.7</f>
        <v>25500.7</v>
      </c>
      <c r="H16" s="26">
        <v>25500.7</v>
      </c>
      <c r="I16" s="26">
        <v>25500.7</v>
      </c>
      <c r="J16" s="75">
        <f t="shared" si="15"/>
        <v>25500.61</v>
      </c>
      <c r="K16" s="35">
        <f>'1.06.'!M16</f>
        <v>25500.61</v>
      </c>
      <c r="L16" s="27"/>
      <c r="M16" s="35">
        <f t="shared" ref="M16:M34" si="16">K16+L16</f>
        <v>25500.61</v>
      </c>
      <c r="N16" s="35">
        <f t="shared" ref="N16:N34" si="17">I16-M16</f>
        <v>9.0000000000145519E-2</v>
      </c>
      <c r="O16" s="70">
        <f t="shared" si="4"/>
        <v>99.999647068511848</v>
      </c>
      <c r="P16" s="71">
        <f t="shared" si="8"/>
        <v>0</v>
      </c>
      <c r="Q16" s="35">
        <f t="shared" si="9"/>
        <v>9.0000000000145519E-2</v>
      </c>
      <c r="R16" s="72">
        <v>1103587</v>
      </c>
      <c r="S16" s="72">
        <f t="shared" si="10"/>
        <v>9.0000000000145519E-2</v>
      </c>
      <c r="T16" s="62">
        <f t="shared" si="11"/>
        <v>9.0000000000145519E-2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9342.2999999999993</v>
      </c>
      <c r="I17" s="26">
        <v>9342.2999999999993</v>
      </c>
      <c r="J17" s="75">
        <f t="shared" si="15"/>
        <v>9342.2960000000003</v>
      </c>
      <c r="K17" s="35">
        <f>'1.06.'!M17</f>
        <v>7840.2</v>
      </c>
      <c r="L17" s="27">
        <v>1502.096</v>
      </c>
      <c r="M17" s="35">
        <f t="shared" si="16"/>
        <v>9342.2960000000003</v>
      </c>
      <c r="N17" s="35">
        <f t="shared" si="17"/>
        <v>3.9999999989959178E-3</v>
      </c>
      <c r="O17" s="70">
        <f t="shared" si="4"/>
        <v>99.9999571839911</v>
      </c>
      <c r="P17" s="71">
        <f t="shared" si="8"/>
        <v>0</v>
      </c>
      <c r="Q17" s="35">
        <f t="shared" si="9"/>
        <v>3.9999999989959178E-3</v>
      </c>
      <c r="R17" s="72">
        <v>1103588</v>
      </c>
      <c r="S17" s="72">
        <f t="shared" si="10"/>
        <v>10913.704</v>
      </c>
      <c r="T17" s="62">
        <f t="shared" si="11"/>
        <v>10913.704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4860-300-110</f>
        <v>4450</v>
      </c>
      <c r="H18" s="26">
        <v>2260</v>
      </c>
      <c r="I18" s="26">
        <v>2260</v>
      </c>
      <c r="J18" s="75">
        <f t="shared" si="15"/>
        <v>2257.4670000000001</v>
      </c>
      <c r="K18" s="35">
        <f>'1.06.'!M18</f>
        <v>2004.7350000000001</v>
      </c>
      <c r="L18" s="27">
        <v>252.732</v>
      </c>
      <c r="M18" s="35">
        <f>K18+L18</f>
        <v>2257.4670000000001</v>
      </c>
      <c r="N18" s="35">
        <f>I18-M18</f>
        <v>2.5329999999999018</v>
      </c>
      <c r="O18" s="70">
        <f>M18/I18*100</f>
        <v>99.88792035398231</v>
      </c>
      <c r="P18" s="71">
        <f t="shared" si="8"/>
        <v>0</v>
      </c>
      <c r="Q18" s="35">
        <f t="shared" si="9"/>
        <v>2.5329999999999018</v>
      </c>
      <c r="R18" s="72">
        <v>1103589</v>
      </c>
      <c r="S18" s="72">
        <f t="shared" si="10"/>
        <v>2192.5329999999999</v>
      </c>
      <c r="T18" s="62">
        <f t="shared" si="11"/>
        <v>2192.5329999999999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4713</v>
      </c>
      <c r="I19" s="26">
        <v>4713</v>
      </c>
      <c r="J19" s="75">
        <f t="shared" si="15"/>
        <v>4713</v>
      </c>
      <c r="K19" s="35">
        <f>'1.06.'!M19</f>
        <v>3896</v>
      </c>
      <c r="L19" s="27">
        <v>817</v>
      </c>
      <c r="M19" s="35">
        <f t="shared" si="16"/>
        <v>4713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3618</v>
      </c>
      <c r="T19" s="62">
        <f t="shared" si="11"/>
        <v>3618</v>
      </c>
    </row>
    <row r="20" spans="1:20" s="73" customFormat="1">
      <c r="A20" s="9"/>
      <c r="B20" s="9"/>
      <c r="C20" s="9"/>
      <c r="D20" s="69"/>
      <c r="E20" s="69">
        <v>122</v>
      </c>
      <c r="F20" s="136" t="s">
        <v>91</v>
      </c>
      <c r="G20" s="26">
        <f>6943-520-65</f>
        <v>6358</v>
      </c>
      <c r="H20" s="26">
        <v>3165</v>
      </c>
      <c r="I20" s="26">
        <v>3165</v>
      </c>
      <c r="J20" s="75">
        <f t="shared" si="15"/>
        <v>3164.8646400000002</v>
      </c>
      <c r="K20" s="35">
        <f>'1.06.'!M20</f>
        <v>2779.4576400000001</v>
      </c>
      <c r="L20" s="27">
        <v>385.40699999999998</v>
      </c>
      <c r="M20" s="35">
        <f t="shared" si="16"/>
        <v>3164.8646400000002</v>
      </c>
      <c r="N20" s="35">
        <f t="shared" si="17"/>
        <v>0.13535999999976411</v>
      </c>
      <c r="O20" s="70">
        <f t="shared" si="4"/>
        <v>99.995723222748822</v>
      </c>
      <c r="P20" s="71">
        <f t="shared" si="8"/>
        <v>0</v>
      </c>
      <c r="Q20" s="35">
        <f t="shared" si="9"/>
        <v>0.13535999999976411</v>
      </c>
      <c r="R20" s="72">
        <v>1103591</v>
      </c>
      <c r="S20" s="72">
        <f t="shared" si="10"/>
        <v>3193.1353599999998</v>
      </c>
      <c r="T20" s="62">
        <f t="shared" si="11"/>
        <v>3193.1353599999998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5"/>
        <v>0</v>
      </c>
      <c r="K21" s="35">
        <f>'1.06.'!M21</f>
        <v>0</v>
      </c>
      <c r="L21" s="27"/>
      <c r="M21" s="35">
        <f t="shared" si="16"/>
        <v>0</v>
      </c>
      <c r="N21" s="35">
        <f t="shared" si="17"/>
        <v>0</v>
      </c>
      <c r="O21" s="70" t="e">
        <f t="shared" si="4"/>
        <v>#DIV/0!</v>
      </c>
      <c r="P21" s="71">
        <f t="shared" si="8"/>
        <v>0</v>
      </c>
      <c r="Q21" s="35">
        <f t="shared" si="9"/>
        <v>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4166-200-54</f>
        <v>3912</v>
      </c>
      <c r="H22" s="26">
        <v>1991</v>
      </c>
      <c r="I22" s="26">
        <v>1991</v>
      </c>
      <c r="J22" s="75">
        <f t="shared" si="15"/>
        <v>1990.9998399999997</v>
      </c>
      <c r="K22" s="35">
        <f>'1.06.'!M22</f>
        <v>1765.3718399999998</v>
      </c>
      <c r="L22" s="27">
        <v>225.62799999999999</v>
      </c>
      <c r="M22" s="35">
        <f t="shared" si="16"/>
        <v>1990.9998399999997</v>
      </c>
      <c r="N22" s="35">
        <f t="shared" si="17"/>
        <v>1.6000000027815986E-4</v>
      </c>
      <c r="O22" s="70">
        <f t="shared" si="4"/>
        <v>99.99999196383726</v>
      </c>
      <c r="P22" s="71">
        <f t="shared" si="8"/>
        <v>0</v>
      </c>
      <c r="Q22" s="35">
        <f t="shared" si="9"/>
        <v>1.6000000027815986E-4</v>
      </c>
      <c r="R22" s="72">
        <v>1103593</v>
      </c>
      <c r="S22" s="72">
        <f t="shared" si="10"/>
        <v>1921.0001600000003</v>
      </c>
      <c r="T22" s="62">
        <f t="shared" si="11"/>
        <v>1921.0001600000003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8918</v>
      </c>
      <c r="I23" s="26">
        <v>8918</v>
      </c>
      <c r="J23" s="75">
        <f t="shared" si="15"/>
        <v>8918</v>
      </c>
      <c r="K23" s="35">
        <f>'1.06.'!M23</f>
        <v>7218</v>
      </c>
      <c r="L23" s="27">
        <v>1700</v>
      </c>
      <c r="M23" s="35">
        <f t="shared" si="16"/>
        <v>8918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10415</v>
      </c>
      <c r="T23" s="62">
        <f t="shared" si="11"/>
        <v>10415</v>
      </c>
    </row>
    <row r="24" spans="1:20" s="73" customFormat="1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1169</v>
      </c>
      <c r="I24" s="26">
        <v>1169</v>
      </c>
      <c r="J24" s="75">
        <f t="shared" si="15"/>
        <v>1169</v>
      </c>
      <c r="K24" s="35">
        <f>'1.06.'!M24</f>
        <v>884</v>
      </c>
      <c r="L24" s="27">
        <v>285</v>
      </c>
      <c r="M24" s="35">
        <f t="shared" si="16"/>
        <v>1169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1960</v>
      </c>
      <c r="T24" s="62">
        <f t="shared" si="11"/>
        <v>1960</v>
      </c>
    </row>
    <row r="25" spans="1:20" s="73" customFormat="1" ht="25.5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'1.06.'!M25</f>
        <v>0</v>
      </c>
      <c r="L25" s="27"/>
      <c r="M25" s="35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'1.06.'!M26</f>
        <v>2074.99856</v>
      </c>
      <c r="L26" s="27"/>
      <c r="M26" s="35">
        <f t="shared" si="16"/>
        <v>2074.99856</v>
      </c>
      <c r="N26" s="35">
        <f t="shared" si="17"/>
        <v>1.4400000000023283E-3</v>
      </c>
      <c r="O26" s="70">
        <f t="shared" si="4"/>
        <v>99.999930602409634</v>
      </c>
      <c r="P26" s="71">
        <f t="shared" si="8"/>
        <v>0</v>
      </c>
      <c r="Q26" s="35">
        <f t="shared" si="9"/>
        <v>1.4400000000023283E-3</v>
      </c>
      <c r="R26" s="72">
        <v>1103597</v>
      </c>
      <c r="S26" s="72">
        <f t="shared" si="10"/>
        <v>1.4400000000023283E-3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307.60000000000002</v>
      </c>
      <c r="I27" s="26">
        <v>307.60000000000002</v>
      </c>
      <c r="J27" s="75">
        <f>M27</f>
        <v>307.56</v>
      </c>
      <c r="K27" s="35">
        <f>'1.06.'!M27</f>
        <v>280.14</v>
      </c>
      <c r="L27" s="27">
        <v>27.42</v>
      </c>
      <c r="M27" s="35">
        <f t="shared" si="16"/>
        <v>307.56</v>
      </c>
      <c r="N27" s="35">
        <f t="shared" si="17"/>
        <v>4.0000000000020464E-2</v>
      </c>
      <c r="O27" s="70">
        <f t="shared" si="4"/>
        <v>99.986996098829636</v>
      </c>
      <c r="P27" s="71">
        <f t="shared" si="8"/>
        <v>0</v>
      </c>
      <c r="Q27" s="35">
        <f t="shared" si="9"/>
        <v>4.0000000000020464E-2</v>
      </c>
      <c r="R27" s="72">
        <v>1103598</v>
      </c>
      <c r="S27" s="72">
        <f t="shared" si="10"/>
        <v>3862.44</v>
      </c>
      <c r="T27" s="62">
        <f t="shared" si="11"/>
        <v>3862.44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v>10733</v>
      </c>
      <c r="H28" s="26">
        <v>6331</v>
      </c>
      <c r="I28" s="26">
        <v>6331</v>
      </c>
      <c r="J28" s="75">
        <f t="shared" si="15"/>
        <v>6206.64102</v>
      </c>
      <c r="K28" s="35">
        <f>'1.06.'!M28</f>
        <v>6030.7726000000002</v>
      </c>
      <c r="L28" s="27">
        <v>175.86841999999999</v>
      </c>
      <c r="M28" s="35">
        <f t="shared" si="16"/>
        <v>6206.64102</v>
      </c>
      <c r="N28" s="35">
        <f t="shared" si="17"/>
        <v>124.35897999999997</v>
      </c>
      <c r="O28" s="70">
        <f t="shared" si="4"/>
        <v>98.035713473384931</v>
      </c>
      <c r="P28" s="71">
        <f t="shared" si="8"/>
        <v>0</v>
      </c>
      <c r="Q28" s="35">
        <f t="shared" si="9"/>
        <v>124.35897999999997</v>
      </c>
      <c r="R28" s="72">
        <v>1103599</v>
      </c>
      <c r="S28" s="72">
        <f t="shared" si="10"/>
        <v>4526.35898</v>
      </c>
      <c r="T28" s="62">
        <f t="shared" si="11"/>
        <v>4526.35898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v>7302</v>
      </c>
      <c r="H29" s="26">
        <v>5416.5</v>
      </c>
      <c r="I29" s="26">
        <v>1976</v>
      </c>
      <c r="J29" s="75">
        <v>5416.4143599999998</v>
      </c>
      <c r="K29" s="35">
        <f>'1.06.'!M29</f>
        <v>1575.9999999999998</v>
      </c>
      <c r="L29" s="27">
        <v>400</v>
      </c>
      <c r="M29" s="35">
        <f t="shared" si="16"/>
        <v>1975.9999999999998</v>
      </c>
      <c r="N29" s="35">
        <f t="shared" si="17"/>
        <v>0</v>
      </c>
      <c r="O29" s="70">
        <f t="shared" si="4"/>
        <v>99.999999999999986</v>
      </c>
      <c r="P29" s="71">
        <f t="shared" si="8"/>
        <v>3440.4143599999998</v>
      </c>
      <c r="Q29" s="35">
        <f t="shared" si="9"/>
        <v>8.5640000000239525E-2</v>
      </c>
      <c r="R29" s="72">
        <v>1103600</v>
      </c>
      <c r="S29" s="72">
        <f t="shared" si="10"/>
        <v>5326</v>
      </c>
      <c r="T29" s="62">
        <f t="shared" si="11"/>
        <v>1885.5856400000002</v>
      </c>
    </row>
    <row r="30" spans="1:20" ht="25.5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366</v>
      </c>
      <c r="J30" s="75">
        <v>730</v>
      </c>
      <c r="K30" s="35">
        <f>'1.06.'!M30</f>
        <v>304.16499999999996</v>
      </c>
      <c r="L30" s="27">
        <v>60.832999999999998</v>
      </c>
      <c r="M30" s="35">
        <f t="shared" si="16"/>
        <v>364.99799999999993</v>
      </c>
      <c r="N30" s="35">
        <f t="shared" si="17"/>
        <v>1.0020000000000664</v>
      </c>
      <c r="O30" s="70">
        <f t="shared" si="4"/>
        <v>99.72622950819671</v>
      </c>
      <c r="P30" s="71">
        <f t="shared" si="8"/>
        <v>365.00200000000007</v>
      </c>
      <c r="Q30" s="35">
        <f t="shared" si="9"/>
        <v>0</v>
      </c>
      <c r="R30" s="72">
        <v>1103601</v>
      </c>
      <c r="S30" s="72">
        <f t="shared" si="10"/>
        <v>365.00200000000007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</f>
        <v>3099</v>
      </c>
      <c r="H31" s="26">
        <v>2486</v>
      </c>
      <c r="I31" s="26">
        <v>1646.3</v>
      </c>
      <c r="J31" s="35">
        <v>2485.9999899999998</v>
      </c>
      <c r="K31" s="35">
        <f>'1.06.'!M31</f>
        <v>1516.7916499999999</v>
      </c>
      <c r="L31" s="27">
        <v>129.39554999999999</v>
      </c>
      <c r="M31" s="35">
        <f t="shared" si="16"/>
        <v>1646.1871999999998</v>
      </c>
      <c r="N31" s="35">
        <f t="shared" si="17"/>
        <v>0.11280000000010659</v>
      </c>
      <c r="O31" s="70">
        <f t="shared" si="4"/>
        <v>99.99314827188239</v>
      </c>
      <c r="P31" s="71">
        <f t="shared" si="8"/>
        <v>839.81278999999995</v>
      </c>
      <c r="Q31" s="35">
        <f t="shared" si="9"/>
        <v>1.0000000202126103E-5</v>
      </c>
      <c r="R31" s="72">
        <v>1103602</v>
      </c>
      <c r="S31" s="72">
        <f t="shared" si="10"/>
        <v>1452.8128000000002</v>
      </c>
      <c r="T31" s="62">
        <f t="shared" si="11"/>
        <v>613.0000100000002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27054-450-5500-5</f>
        <v>21099</v>
      </c>
      <c r="H32" s="26">
        <v>3502</v>
      </c>
      <c r="I32" s="26">
        <v>3502</v>
      </c>
      <c r="J32" s="75">
        <f t="shared" si="15"/>
        <v>3502</v>
      </c>
      <c r="K32" s="35">
        <f>'1.06.'!M32</f>
        <v>3436.7339999999999</v>
      </c>
      <c r="L32" s="27">
        <v>65.266000000000005</v>
      </c>
      <c r="M32" s="35">
        <f t="shared" si="16"/>
        <v>3502</v>
      </c>
      <c r="N32" s="35">
        <f t="shared" si="17"/>
        <v>0</v>
      </c>
      <c r="O32" s="70">
        <f t="shared" si="4"/>
        <v>100</v>
      </c>
      <c r="P32" s="71">
        <f t="shared" si="8"/>
        <v>0</v>
      </c>
      <c r="Q32" s="35">
        <f t="shared" si="9"/>
        <v>0</v>
      </c>
      <c r="R32" s="72">
        <v>1103603</v>
      </c>
      <c r="S32" s="72">
        <f t="shared" si="10"/>
        <v>17597</v>
      </c>
      <c r="T32" s="62">
        <f t="shared" si="11"/>
        <v>17597</v>
      </c>
    </row>
    <row r="33" spans="1:20" s="73" customFormat="1">
      <c r="A33" s="9"/>
      <c r="B33" s="9"/>
      <c r="C33" s="9"/>
      <c r="D33" s="69"/>
      <c r="E33" s="69">
        <v>168</v>
      </c>
      <c r="F33" s="136" t="s">
        <v>167</v>
      </c>
      <c r="G33" s="26">
        <v>5</v>
      </c>
      <c r="H33" s="26">
        <v>5</v>
      </c>
      <c r="I33" s="26">
        <v>5</v>
      </c>
      <c r="J33" s="75">
        <f t="shared" si="15"/>
        <v>5</v>
      </c>
      <c r="K33" s="35">
        <f>'1.06.'!M33</f>
        <v>5</v>
      </c>
      <c r="L33" s="27"/>
      <c r="M33" s="35">
        <f t="shared" si="16"/>
        <v>5</v>
      </c>
      <c r="N33" s="35">
        <f t="shared" si="17"/>
        <v>0</v>
      </c>
      <c r="O33" s="70">
        <f t="shared" si="4"/>
        <v>100</v>
      </c>
      <c r="P33" s="71">
        <f t="shared" si="8"/>
        <v>0</v>
      </c>
      <c r="Q33" s="35">
        <f t="shared" si="9"/>
        <v>0</v>
      </c>
      <c r="R33" s="72">
        <v>1103604</v>
      </c>
      <c r="S33" s="72">
        <f t="shared" si="10"/>
        <v>0</v>
      </c>
      <c r="T33" s="62"/>
    </row>
    <row r="34" spans="1:20" s="73" customFormat="1">
      <c r="A34" s="9"/>
      <c r="B34" s="9"/>
      <c r="C34" s="9"/>
      <c r="D34" s="69"/>
      <c r="E34" s="69">
        <v>169</v>
      </c>
      <c r="F34" s="136" t="s">
        <v>103</v>
      </c>
      <c r="G34" s="26"/>
      <c r="H34" s="26"/>
      <c r="I34" s="26"/>
      <c r="J34" s="75">
        <f t="shared" si="15"/>
        <v>0</v>
      </c>
      <c r="K34" s="35">
        <f>'1.06.'!M34</f>
        <v>0</v>
      </c>
      <c r="L34" s="27"/>
      <c r="M34" s="35">
        <f t="shared" si="16"/>
        <v>0</v>
      </c>
      <c r="N34" s="35">
        <f t="shared" si="17"/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1103604</v>
      </c>
      <c r="S34" s="72">
        <f t="shared" si="10"/>
        <v>0</v>
      </c>
      <c r="T34" s="62">
        <f t="shared" si="11"/>
        <v>0</v>
      </c>
    </row>
    <row r="35" spans="1:20" hidden="1">
      <c r="A35" s="9"/>
      <c r="B35" s="9"/>
      <c r="C35" s="8" t="s">
        <v>16</v>
      </c>
      <c r="D35" s="69"/>
      <c r="E35" s="69"/>
      <c r="F35" s="77" t="s">
        <v>18</v>
      </c>
      <c r="G35" s="23">
        <f>G36+G37+G38</f>
        <v>0</v>
      </c>
      <c r="H35" s="23">
        <f t="shared" ref="H35:M35" si="18">H36+H37+H38</f>
        <v>0</v>
      </c>
      <c r="I35" s="23">
        <f t="shared" si="18"/>
        <v>0</v>
      </c>
      <c r="J35" s="23">
        <f t="shared" si="18"/>
        <v>0</v>
      </c>
      <c r="K35" s="35">
        <f>'1.05.'!M34</f>
        <v>0</v>
      </c>
      <c r="L35" s="24">
        <f t="shared" si="18"/>
        <v>0</v>
      </c>
      <c r="M35" s="24">
        <f t="shared" si="18"/>
        <v>0</v>
      </c>
      <c r="N35" s="24">
        <f>N36+N37+N38</f>
        <v>0</v>
      </c>
      <c r="O35" s="70" t="e">
        <f t="shared" si="4"/>
        <v>#DIV/0!</v>
      </c>
      <c r="P35" s="71">
        <f t="shared" si="8"/>
        <v>0</v>
      </c>
      <c r="Q35" s="35">
        <f t="shared" si="9"/>
        <v>0</v>
      </c>
      <c r="R35" s="72">
        <v>1103605</v>
      </c>
      <c r="S35" s="72">
        <f t="shared" si="10"/>
        <v>0</v>
      </c>
      <c r="T35" s="62">
        <f t="shared" si="11"/>
        <v>0</v>
      </c>
    </row>
    <row r="36" spans="1:20" hidden="1">
      <c r="A36" s="9"/>
      <c r="B36" s="9"/>
      <c r="C36" s="8"/>
      <c r="D36" s="69"/>
      <c r="E36" s="69">
        <v>413</v>
      </c>
      <c r="F36" s="78" t="s">
        <v>17</v>
      </c>
      <c r="G36" s="26"/>
      <c r="H36" s="26"/>
      <c r="I36" s="26"/>
      <c r="J36" s="105"/>
      <c r="K36" s="35">
        <f>'1.05.'!M35</f>
        <v>0</v>
      </c>
      <c r="L36" s="27"/>
      <c r="M36" s="35">
        <f t="shared" ref="M36:M38" si="19">K36+L36</f>
        <v>0</v>
      </c>
      <c r="N36" s="27"/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1103606</v>
      </c>
      <c r="S36" s="72">
        <f t="shared" si="10"/>
        <v>0</v>
      </c>
      <c r="T36" s="62">
        <f t="shared" si="11"/>
        <v>0</v>
      </c>
    </row>
    <row r="37" spans="1:20" ht="25.5" hidden="1">
      <c r="A37" s="9"/>
      <c r="B37" s="9"/>
      <c r="C37" s="9"/>
      <c r="D37" s="69"/>
      <c r="E37" s="69">
        <v>414</v>
      </c>
      <c r="F37" s="86" t="s">
        <v>64</v>
      </c>
      <c r="G37" s="26"/>
      <c r="H37" s="26"/>
      <c r="I37" s="26"/>
      <c r="J37" s="105">
        <f>M37</f>
        <v>0</v>
      </c>
      <c r="K37" s="35">
        <f>'1.05.'!M36</f>
        <v>0</v>
      </c>
      <c r="L37" s="27"/>
      <c r="M37" s="35">
        <f t="shared" si="19"/>
        <v>0</v>
      </c>
      <c r="N37" s="35">
        <f t="shared" ref="N37:N38" si="20">I37-M37</f>
        <v>0</v>
      </c>
      <c r="O37" s="70" t="e">
        <f t="shared" si="4"/>
        <v>#DIV/0!</v>
      </c>
      <c r="P37" s="71">
        <f t="shared" si="8"/>
        <v>0</v>
      </c>
      <c r="Q37" s="35">
        <f t="shared" si="9"/>
        <v>0</v>
      </c>
      <c r="R37" s="72">
        <v>1103607</v>
      </c>
      <c r="S37" s="72">
        <f t="shared" si="10"/>
        <v>0</v>
      </c>
      <c r="T37" s="62">
        <f t="shared" si="11"/>
        <v>0</v>
      </c>
    </row>
    <row r="38" spans="1:20" hidden="1">
      <c r="A38" s="9"/>
      <c r="B38" s="9"/>
      <c r="C38" s="9"/>
      <c r="D38" s="69"/>
      <c r="E38" s="69">
        <v>419</v>
      </c>
      <c r="F38" s="86" t="s">
        <v>57</v>
      </c>
      <c r="G38" s="26"/>
      <c r="H38" s="26"/>
      <c r="I38" s="26"/>
      <c r="J38" s="105">
        <f>M38</f>
        <v>0</v>
      </c>
      <c r="K38" s="35">
        <f>'1.05.'!M37</f>
        <v>0</v>
      </c>
      <c r="L38" s="27"/>
      <c r="M38" s="35">
        <f t="shared" si="19"/>
        <v>0</v>
      </c>
      <c r="N38" s="35">
        <f t="shared" si="20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1103608</v>
      </c>
      <c r="S38" s="72">
        <f t="shared" si="10"/>
        <v>0</v>
      </c>
    </row>
    <row r="39" spans="1:20" ht="25.5">
      <c r="A39" s="9"/>
      <c r="B39" s="9"/>
      <c r="C39" s="8" t="s">
        <v>15</v>
      </c>
      <c r="D39" s="21"/>
      <c r="E39" s="21"/>
      <c r="F39" s="120" t="s">
        <v>106</v>
      </c>
      <c r="G39" s="59">
        <f t="shared" ref="G39:N39" si="21">G40</f>
        <v>10400</v>
      </c>
      <c r="H39" s="59">
        <f t="shared" si="21"/>
        <v>10400</v>
      </c>
      <c r="I39" s="59">
        <f>I40</f>
        <v>0</v>
      </c>
      <c r="J39" s="33">
        <f t="shared" si="21"/>
        <v>0</v>
      </c>
      <c r="K39" s="35">
        <f>'1.02.'!M38</f>
        <v>0</v>
      </c>
      <c r="L39" s="29">
        <f t="shared" si="21"/>
        <v>0</v>
      </c>
      <c r="M39" s="29">
        <f t="shared" si="21"/>
        <v>0</v>
      </c>
      <c r="N39" s="29">
        <f t="shared" si="21"/>
        <v>0</v>
      </c>
      <c r="O39" s="70" t="e">
        <f t="shared" si="4"/>
        <v>#DIV/0!</v>
      </c>
      <c r="P39" s="71">
        <f t="shared" si="8"/>
        <v>0</v>
      </c>
      <c r="Q39" s="35">
        <f t="shared" si="9"/>
        <v>10400</v>
      </c>
      <c r="R39" s="72">
        <v>1103609</v>
      </c>
      <c r="S39" s="72">
        <f t="shared" si="10"/>
        <v>10400</v>
      </c>
      <c r="T39" s="62">
        <f t="shared" si="11"/>
        <v>10400</v>
      </c>
    </row>
    <row r="40" spans="1:20">
      <c r="A40" s="9"/>
      <c r="B40" s="9"/>
      <c r="C40" s="8"/>
      <c r="D40" s="54" t="s">
        <v>35</v>
      </c>
      <c r="E40" s="69"/>
      <c r="F40" s="122"/>
      <c r="G40" s="37">
        <f>G41</f>
        <v>10400</v>
      </c>
      <c r="H40" s="37">
        <f>H41</f>
        <v>10400</v>
      </c>
      <c r="I40" s="37">
        <f>I41</f>
        <v>0</v>
      </c>
      <c r="J40" s="75">
        <f>J41</f>
        <v>0</v>
      </c>
      <c r="K40" s="35">
        <f>'1.02.'!M39</f>
        <v>0</v>
      </c>
      <c r="L40" s="35"/>
      <c r="M40" s="35">
        <f>M41</f>
        <v>0</v>
      </c>
      <c r="N40" s="35">
        <f>N41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10400</v>
      </c>
      <c r="R40" s="72">
        <v>1103610</v>
      </c>
      <c r="S40" s="72">
        <f t="shared" si="10"/>
        <v>10400</v>
      </c>
      <c r="T40" s="62">
        <f t="shared" si="11"/>
        <v>10400</v>
      </c>
    </row>
    <row r="41" spans="1:20" ht="25.5">
      <c r="A41" s="9"/>
      <c r="B41" s="9"/>
      <c r="C41" s="9"/>
      <c r="D41" s="69"/>
      <c r="E41" s="69">
        <v>155</v>
      </c>
      <c r="F41" s="117" t="s">
        <v>107</v>
      </c>
      <c r="G41" s="37">
        <v>10400</v>
      </c>
      <c r="H41" s="37">
        <v>10400</v>
      </c>
      <c r="I41" s="37">
        <v>0</v>
      </c>
      <c r="J41" s="75">
        <f>M41</f>
        <v>0</v>
      </c>
      <c r="K41" s="35">
        <f>'1.06.'!M41</f>
        <v>0</v>
      </c>
      <c r="L41" s="35"/>
      <c r="M41" s="35">
        <f t="shared" ref="M41" si="22">K41+L41</f>
        <v>0</v>
      </c>
      <c r="N41" s="35">
        <f t="shared" ref="N41" si="23">I41-M41</f>
        <v>0</v>
      </c>
      <c r="O41" s="70" t="e">
        <f t="shared" si="4"/>
        <v>#DIV/0!</v>
      </c>
      <c r="P41" s="71">
        <f t="shared" si="8"/>
        <v>0</v>
      </c>
      <c r="Q41" s="35">
        <f t="shared" si="9"/>
        <v>10400</v>
      </c>
      <c r="R41" s="72">
        <v>1103611</v>
      </c>
      <c r="S41" s="72">
        <f t="shared" si="10"/>
        <v>10400</v>
      </c>
      <c r="T41" s="62">
        <f t="shared" si="11"/>
        <v>10400</v>
      </c>
    </row>
    <row r="42" spans="1:20" s="73" customFormat="1" ht="51">
      <c r="A42" s="116"/>
      <c r="B42" s="116"/>
      <c r="C42" s="119" t="s">
        <v>61</v>
      </c>
      <c r="D42" s="116"/>
      <c r="E42" s="116"/>
      <c r="F42" s="120" t="s">
        <v>62</v>
      </c>
      <c r="G42" s="59">
        <f t="shared" ref="G42:L43" si="24">G43</f>
        <v>1064315</v>
      </c>
      <c r="H42" s="59">
        <f t="shared" si="24"/>
        <v>27701.7</v>
      </c>
      <c r="I42" s="59">
        <f t="shared" si="24"/>
        <v>27701.7</v>
      </c>
      <c r="J42" s="33">
        <f t="shared" si="24"/>
        <v>27701.504280000001</v>
      </c>
      <c r="K42" s="33">
        <f t="shared" si="24"/>
        <v>0</v>
      </c>
      <c r="L42" s="33">
        <f t="shared" si="24"/>
        <v>27701.504280000001</v>
      </c>
      <c r="M42" s="29">
        <f t="shared" ref="M42:N43" si="25">M43</f>
        <v>27701.504280000001</v>
      </c>
      <c r="N42" s="29">
        <f t="shared" si="25"/>
        <v>0.19571999999971013</v>
      </c>
      <c r="O42" s="68">
        <f t="shared" si="4"/>
        <v>99.999293472963757</v>
      </c>
      <c r="P42" s="60">
        <f t="shared" si="8"/>
        <v>0</v>
      </c>
      <c r="Q42" s="29">
        <f t="shared" si="9"/>
        <v>0.19571999999971013</v>
      </c>
      <c r="R42" s="74">
        <v>1103612</v>
      </c>
      <c r="S42" s="74">
        <f t="shared" si="10"/>
        <v>1036613.49572</v>
      </c>
    </row>
    <row r="43" spans="1:20">
      <c r="A43" s="118"/>
      <c r="B43" s="118"/>
      <c r="C43" s="116"/>
      <c r="D43" s="121" t="s">
        <v>35</v>
      </c>
      <c r="E43" s="118"/>
      <c r="F43" s="122"/>
      <c r="G43" s="37">
        <f t="shared" si="24"/>
        <v>1064315</v>
      </c>
      <c r="H43" s="37">
        <f t="shared" si="24"/>
        <v>27701.7</v>
      </c>
      <c r="I43" s="37">
        <f t="shared" si="24"/>
        <v>27701.7</v>
      </c>
      <c r="J43" s="75">
        <f t="shared" si="24"/>
        <v>27701.504280000001</v>
      </c>
      <c r="K43" s="75">
        <f t="shared" si="24"/>
        <v>0</v>
      </c>
      <c r="L43" s="75">
        <f t="shared" si="24"/>
        <v>27701.504280000001</v>
      </c>
      <c r="M43" s="35">
        <f t="shared" si="25"/>
        <v>27701.504280000001</v>
      </c>
      <c r="N43" s="35">
        <f t="shared" si="25"/>
        <v>0.19571999999971013</v>
      </c>
      <c r="O43" s="70">
        <f t="shared" si="4"/>
        <v>99.999293472963757</v>
      </c>
      <c r="P43" s="71">
        <f t="shared" si="8"/>
        <v>0</v>
      </c>
      <c r="Q43" s="35">
        <f t="shared" si="9"/>
        <v>0.19571999999971013</v>
      </c>
      <c r="R43" s="72">
        <v>1103613</v>
      </c>
      <c r="S43" s="72">
        <f t="shared" si="10"/>
        <v>1036613.49572</v>
      </c>
    </row>
    <row r="44" spans="1:20">
      <c r="A44" s="118"/>
      <c r="B44" s="118"/>
      <c r="C44" s="118"/>
      <c r="D44" s="118"/>
      <c r="E44" s="118">
        <v>361</v>
      </c>
      <c r="F44" s="117" t="s">
        <v>63</v>
      </c>
      <c r="G44" s="37">
        <v>1064315</v>
      </c>
      <c r="H44" s="37">
        <v>27701.7</v>
      </c>
      <c r="I44" s="37">
        <v>27701.7</v>
      </c>
      <c r="J44" s="75">
        <f>M44</f>
        <v>27701.504280000001</v>
      </c>
      <c r="K44" s="35">
        <f>'1.06.'!M44</f>
        <v>0</v>
      </c>
      <c r="L44" s="35">
        <v>27701.504280000001</v>
      </c>
      <c r="M44" s="35">
        <f t="shared" ref="M44" si="26">K44+L44</f>
        <v>27701.504280000001</v>
      </c>
      <c r="N44" s="35">
        <f t="shared" ref="N44" si="27">I44-M44</f>
        <v>0.19571999999971013</v>
      </c>
      <c r="O44" s="70">
        <f t="shared" si="4"/>
        <v>99.999293472963757</v>
      </c>
      <c r="P44" s="71">
        <f t="shared" si="8"/>
        <v>0</v>
      </c>
      <c r="Q44" s="35">
        <f t="shared" si="9"/>
        <v>0.19571999999971013</v>
      </c>
      <c r="R44" s="72">
        <v>1103614</v>
      </c>
      <c r="S44" s="72">
        <f t="shared" si="10"/>
        <v>1036613.49572</v>
      </c>
    </row>
    <row r="45" spans="1:20" s="73" customFormat="1" ht="25.5">
      <c r="A45" s="8"/>
      <c r="B45" s="8"/>
      <c r="C45" s="8" t="s">
        <v>21</v>
      </c>
      <c r="D45" s="10"/>
      <c r="E45" s="10"/>
      <c r="F45" s="137" t="s">
        <v>108</v>
      </c>
      <c r="G45" s="81">
        <f>G46</f>
        <v>1464726</v>
      </c>
      <c r="H45" s="81">
        <f t="shared" ref="H45:N46" si="28">H46</f>
        <v>840782</v>
      </c>
      <c r="I45" s="81">
        <f t="shared" si="28"/>
        <v>769774</v>
      </c>
      <c r="J45" s="81">
        <f t="shared" si="28"/>
        <v>769774</v>
      </c>
      <c r="K45" s="29">
        <f>'1.02.'!M44</f>
        <v>125000</v>
      </c>
      <c r="L45" s="81">
        <f t="shared" si="28"/>
        <v>146408</v>
      </c>
      <c r="M45" s="123">
        <f t="shared" si="28"/>
        <v>769774</v>
      </c>
      <c r="N45" s="123">
        <f t="shared" si="28"/>
        <v>0</v>
      </c>
      <c r="O45" s="68">
        <f t="shared" si="4"/>
        <v>100</v>
      </c>
      <c r="P45" s="71">
        <f t="shared" si="8"/>
        <v>0</v>
      </c>
      <c r="Q45" s="35">
        <f t="shared" si="9"/>
        <v>71008</v>
      </c>
      <c r="R45" s="72">
        <v>1103615</v>
      </c>
      <c r="S45" s="72">
        <f t="shared" si="10"/>
        <v>694952</v>
      </c>
      <c r="T45" s="62">
        <f t="shared" si="11"/>
        <v>694952</v>
      </c>
    </row>
    <row r="46" spans="1:20" s="73" customFormat="1">
      <c r="A46" s="8"/>
      <c r="B46" s="8"/>
      <c r="C46" s="8"/>
      <c r="D46" s="43" t="s">
        <v>7</v>
      </c>
      <c r="E46" s="44"/>
      <c r="F46" s="135" t="s">
        <v>85</v>
      </c>
      <c r="G46" s="82">
        <f>G47</f>
        <v>1464726</v>
      </c>
      <c r="H46" s="82">
        <f t="shared" si="28"/>
        <v>840782</v>
      </c>
      <c r="I46" s="82">
        <f t="shared" si="28"/>
        <v>769774</v>
      </c>
      <c r="J46" s="82">
        <f t="shared" si="28"/>
        <v>769774</v>
      </c>
      <c r="K46" s="29">
        <f>'1.02.'!M45</f>
        <v>125000</v>
      </c>
      <c r="L46" s="82">
        <f t="shared" si="28"/>
        <v>146408</v>
      </c>
      <c r="M46" s="123">
        <f t="shared" si="28"/>
        <v>769774</v>
      </c>
      <c r="N46" s="123">
        <f t="shared" si="28"/>
        <v>0</v>
      </c>
      <c r="O46" s="70">
        <f t="shared" si="4"/>
        <v>100</v>
      </c>
      <c r="P46" s="71">
        <f t="shared" si="8"/>
        <v>0</v>
      </c>
      <c r="Q46" s="35">
        <f t="shared" si="9"/>
        <v>71008</v>
      </c>
      <c r="R46" s="72">
        <v>1103616</v>
      </c>
      <c r="S46" s="72">
        <f t="shared" si="10"/>
        <v>694952</v>
      </c>
      <c r="T46" s="62"/>
    </row>
    <row r="47" spans="1:20" s="73" customFormat="1" ht="25.5">
      <c r="A47" s="8"/>
      <c r="B47" s="8"/>
      <c r="C47" s="8"/>
      <c r="D47" s="45"/>
      <c r="E47" s="46">
        <v>339</v>
      </c>
      <c r="F47" s="138" t="s">
        <v>109</v>
      </c>
      <c r="G47" s="84">
        <f>SUM(G48:G55)</f>
        <v>1464726</v>
      </c>
      <c r="H47" s="84">
        <f>SUM(H48:H55)</f>
        <v>840782</v>
      </c>
      <c r="I47" s="84">
        <f>SUM(I48:I55)</f>
        <v>769774</v>
      </c>
      <c r="J47" s="108">
        <f t="shared" ref="J47" si="29">SUM(J48:J55)</f>
        <v>769774</v>
      </c>
      <c r="K47" s="35">
        <f>'1.02.'!M46</f>
        <v>125000</v>
      </c>
      <c r="L47" s="84">
        <f>SUM(L48:L55)</f>
        <v>146408</v>
      </c>
      <c r="M47" s="123">
        <f>SUM(M48:M55)</f>
        <v>769774</v>
      </c>
      <c r="N47" s="123">
        <f>SUM(N48:N55)</f>
        <v>0</v>
      </c>
      <c r="O47" s="70">
        <f t="shared" si="4"/>
        <v>100</v>
      </c>
      <c r="P47" s="71">
        <f t="shared" si="8"/>
        <v>0</v>
      </c>
      <c r="Q47" s="35">
        <f t="shared" si="9"/>
        <v>71008</v>
      </c>
      <c r="R47" s="72">
        <v>1103617</v>
      </c>
      <c r="S47" s="72">
        <f t="shared" si="10"/>
        <v>694952</v>
      </c>
      <c r="T47" s="62"/>
    </row>
    <row r="48" spans="1:20" s="73" customFormat="1">
      <c r="A48" s="8"/>
      <c r="B48" s="8"/>
      <c r="C48" s="8"/>
      <c r="D48" s="45"/>
      <c r="E48" s="46"/>
      <c r="F48" s="47" t="s">
        <v>46</v>
      </c>
      <c r="G48" s="83">
        <f>G58+G67+G76+G85+G94</f>
        <v>547812</v>
      </c>
      <c r="H48" s="83">
        <f>H58+H67+H76+H85+H94</f>
        <v>273645</v>
      </c>
      <c r="I48" s="83">
        <f>I58+I67+I76+I85+I94</f>
        <v>239637</v>
      </c>
      <c r="J48" s="83">
        <f t="shared" ref="J48:N55" si="30">J58+J67+J76+J85+J94</f>
        <v>239637</v>
      </c>
      <c r="K48" s="83">
        <f t="shared" si="30"/>
        <v>171658</v>
      </c>
      <c r="L48" s="83">
        <f t="shared" si="30"/>
        <v>67979</v>
      </c>
      <c r="M48" s="124">
        <f t="shared" si="30"/>
        <v>239637</v>
      </c>
      <c r="N48" s="124">
        <f t="shared" si="30"/>
        <v>0</v>
      </c>
      <c r="O48" s="70">
        <f t="shared" si="4"/>
        <v>100</v>
      </c>
      <c r="P48" s="71">
        <f t="shared" si="8"/>
        <v>0</v>
      </c>
      <c r="Q48" s="35">
        <f t="shared" si="9"/>
        <v>34008</v>
      </c>
      <c r="R48" s="72">
        <v>1103618</v>
      </c>
      <c r="S48" s="72">
        <f t="shared" si="10"/>
        <v>308175</v>
      </c>
      <c r="T48" s="62"/>
    </row>
    <row r="49" spans="1:20" s="73" customFormat="1">
      <c r="A49" s="8"/>
      <c r="B49" s="8"/>
      <c r="C49" s="8"/>
      <c r="D49" s="45"/>
      <c r="E49" s="46"/>
      <c r="F49" s="47" t="s">
        <v>8</v>
      </c>
      <c r="G49" s="83">
        <f t="shared" ref="G49:J55" si="31">G59+G68+G77+G86+G95</f>
        <v>60337</v>
      </c>
      <c r="H49" s="83">
        <f t="shared" si="31"/>
        <v>44595</v>
      </c>
      <c r="I49" s="83">
        <f t="shared" si="31"/>
        <v>44595</v>
      </c>
      <c r="J49" s="83">
        <f t="shared" si="31"/>
        <v>44595</v>
      </c>
      <c r="K49" s="83">
        <f t="shared" si="30"/>
        <v>38065</v>
      </c>
      <c r="L49" s="83">
        <f t="shared" si="30"/>
        <v>6530</v>
      </c>
      <c r="M49" s="124">
        <f t="shared" si="30"/>
        <v>44595</v>
      </c>
      <c r="N49" s="124">
        <f t="shared" si="30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1103619</v>
      </c>
      <c r="S49" s="72">
        <f t="shared" si="10"/>
        <v>15742</v>
      </c>
      <c r="T49" s="62"/>
    </row>
    <row r="50" spans="1:20" s="73" customFormat="1">
      <c r="A50" s="8"/>
      <c r="B50" s="8"/>
      <c r="C50" s="8"/>
      <c r="D50" s="45"/>
      <c r="E50" s="46"/>
      <c r="F50" s="49" t="s">
        <v>9</v>
      </c>
      <c r="G50" s="83">
        <f t="shared" si="31"/>
        <v>123501</v>
      </c>
      <c r="H50" s="83">
        <f t="shared" si="31"/>
        <v>51741</v>
      </c>
      <c r="I50" s="83">
        <f t="shared" si="31"/>
        <v>51741</v>
      </c>
      <c r="J50" s="83">
        <f t="shared" si="31"/>
        <v>51741</v>
      </c>
      <c r="K50" s="83">
        <f t="shared" si="30"/>
        <v>42015</v>
      </c>
      <c r="L50" s="83">
        <f t="shared" si="30"/>
        <v>9726</v>
      </c>
      <c r="M50" s="124">
        <f t="shared" si="30"/>
        <v>51741</v>
      </c>
      <c r="N50" s="124">
        <f t="shared" si="30"/>
        <v>0</v>
      </c>
      <c r="O50" s="70">
        <f t="shared" si="4"/>
        <v>100</v>
      </c>
      <c r="P50" s="71">
        <f t="shared" si="8"/>
        <v>0</v>
      </c>
      <c r="Q50" s="35">
        <f t="shared" si="9"/>
        <v>0</v>
      </c>
      <c r="R50" s="72">
        <v>1103620</v>
      </c>
      <c r="S50" s="72">
        <f t="shared" si="10"/>
        <v>71760</v>
      </c>
      <c r="T50" s="62"/>
    </row>
    <row r="51" spans="1:20" s="73" customFormat="1">
      <c r="A51" s="8"/>
      <c r="B51" s="8"/>
      <c r="C51" s="8"/>
      <c r="D51" s="45"/>
      <c r="E51" s="46"/>
      <c r="F51" s="49" t="s">
        <v>10</v>
      </c>
      <c r="G51" s="83">
        <f t="shared" si="31"/>
        <v>48916</v>
      </c>
      <c r="H51" s="83">
        <f t="shared" si="31"/>
        <v>18752</v>
      </c>
      <c r="I51" s="83">
        <f t="shared" si="31"/>
        <v>18752</v>
      </c>
      <c r="J51" s="83">
        <f t="shared" si="31"/>
        <v>18752</v>
      </c>
      <c r="K51" s="83">
        <f t="shared" si="30"/>
        <v>13707</v>
      </c>
      <c r="L51" s="83">
        <f t="shared" si="30"/>
        <v>5045</v>
      </c>
      <c r="M51" s="124">
        <f t="shared" si="30"/>
        <v>18752</v>
      </c>
      <c r="N51" s="124">
        <f t="shared" si="30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1103621</v>
      </c>
      <c r="S51" s="72">
        <f t="shared" si="10"/>
        <v>30164</v>
      </c>
      <c r="T51" s="62"/>
    </row>
    <row r="52" spans="1:20" s="73" customFormat="1">
      <c r="A52" s="8"/>
      <c r="B52" s="8"/>
      <c r="C52" s="8"/>
      <c r="D52" s="45"/>
      <c r="E52" s="46"/>
      <c r="F52" s="49" t="s">
        <v>47</v>
      </c>
      <c r="G52" s="83">
        <f t="shared" si="31"/>
        <v>85380</v>
      </c>
      <c r="H52" s="83">
        <f t="shared" si="31"/>
        <v>37735</v>
      </c>
      <c r="I52" s="83">
        <f t="shared" si="31"/>
        <v>37735</v>
      </c>
      <c r="J52" s="83">
        <f t="shared" si="31"/>
        <v>37735</v>
      </c>
      <c r="K52" s="83">
        <f t="shared" si="30"/>
        <v>31632</v>
      </c>
      <c r="L52" s="83">
        <f t="shared" si="30"/>
        <v>6103</v>
      </c>
      <c r="M52" s="124">
        <f t="shared" si="30"/>
        <v>37735</v>
      </c>
      <c r="N52" s="124">
        <f t="shared" si="30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1103622</v>
      </c>
      <c r="S52" s="72">
        <f t="shared" si="10"/>
        <v>47645</v>
      </c>
      <c r="T52" s="62"/>
    </row>
    <row r="53" spans="1:20" s="73" customFormat="1">
      <c r="A53" s="8"/>
      <c r="B53" s="8"/>
      <c r="C53" s="8"/>
      <c r="D53" s="45"/>
      <c r="E53" s="46"/>
      <c r="F53" s="49" t="s">
        <v>48</v>
      </c>
      <c r="G53" s="83">
        <f t="shared" si="31"/>
        <v>145294</v>
      </c>
      <c r="H53" s="83">
        <f t="shared" si="31"/>
        <v>47168</v>
      </c>
      <c r="I53" s="83">
        <f t="shared" si="31"/>
        <v>47168</v>
      </c>
      <c r="J53" s="83">
        <f t="shared" si="31"/>
        <v>47168</v>
      </c>
      <c r="K53" s="83">
        <f t="shared" si="30"/>
        <v>38422</v>
      </c>
      <c r="L53" s="83">
        <f t="shared" si="30"/>
        <v>8746</v>
      </c>
      <c r="M53" s="124">
        <f t="shared" si="30"/>
        <v>47168</v>
      </c>
      <c r="N53" s="124">
        <f t="shared" si="30"/>
        <v>0</v>
      </c>
      <c r="O53" s="70">
        <f t="shared" si="4"/>
        <v>100</v>
      </c>
      <c r="P53" s="71">
        <f t="shared" si="8"/>
        <v>0</v>
      </c>
      <c r="Q53" s="35">
        <f t="shared" si="9"/>
        <v>0</v>
      </c>
      <c r="R53" s="72">
        <v>1103623</v>
      </c>
      <c r="S53" s="72">
        <f t="shared" si="10"/>
        <v>98126</v>
      </c>
      <c r="T53" s="62"/>
    </row>
    <row r="54" spans="1:20" s="73" customFormat="1">
      <c r="A54" s="8"/>
      <c r="B54" s="8"/>
      <c r="C54" s="8"/>
      <c r="D54" s="45"/>
      <c r="E54" s="46"/>
      <c r="F54" s="49" t="s">
        <v>12</v>
      </c>
      <c r="G54" s="83">
        <f t="shared" si="31"/>
        <v>379340</v>
      </c>
      <c r="H54" s="83">
        <f t="shared" si="31"/>
        <v>335110</v>
      </c>
      <c r="I54" s="83">
        <f t="shared" si="31"/>
        <v>298110</v>
      </c>
      <c r="J54" s="83">
        <f t="shared" si="31"/>
        <v>298110</v>
      </c>
      <c r="K54" s="83">
        <f t="shared" si="30"/>
        <v>260101</v>
      </c>
      <c r="L54" s="83">
        <f t="shared" si="30"/>
        <v>38009</v>
      </c>
      <c r="M54" s="124">
        <f t="shared" si="30"/>
        <v>298110</v>
      </c>
      <c r="N54" s="124">
        <f t="shared" si="30"/>
        <v>0</v>
      </c>
      <c r="O54" s="70">
        <f t="shared" si="4"/>
        <v>100</v>
      </c>
      <c r="P54" s="71">
        <f t="shared" si="8"/>
        <v>0</v>
      </c>
      <c r="Q54" s="35">
        <f t="shared" si="9"/>
        <v>37000</v>
      </c>
      <c r="R54" s="72">
        <v>1103624</v>
      </c>
      <c r="S54" s="72">
        <f t="shared" si="10"/>
        <v>81230</v>
      </c>
      <c r="T54" s="62"/>
    </row>
    <row r="55" spans="1:20" s="73" customFormat="1">
      <c r="A55" s="8"/>
      <c r="B55" s="8"/>
      <c r="C55" s="8"/>
      <c r="D55" s="45"/>
      <c r="E55" s="46"/>
      <c r="F55" s="49" t="s">
        <v>11</v>
      </c>
      <c r="G55" s="83">
        <f t="shared" si="31"/>
        <v>74146</v>
      </c>
      <c r="H55" s="83">
        <f t="shared" si="31"/>
        <v>32036</v>
      </c>
      <c r="I55" s="83">
        <f t="shared" si="31"/>
        <v>32036</v>
      </c>
      <c r="J55" s="83">
        <f t="shared" si="31"/>
        <v>32036</v>
      </c>
      <c r="K55" s="83">
        <f t="shared" si="30"/>
        <v>27766</v>
      </c>
      <c r="L55" s="83">
        <f t="shared" si="30"/>
        <v>4270</v>
      </c>
      <c r="M55" s="124">
        <f t="shared" si="30"/>
        <v>32036</v>
      </c>
      <c r="N55" s="124">
        <f t="shared" si="30"/>
        <v>0</v>
      </c>
      <c r="O55" s="70">
        <f t="shared" si="4"/>
        <v>100</v>
      </c>
      <c r="P55" s="71">
        <f t="shared" si="8"/>
        <v>0</v>
      </c>
      <c r="Q55" s="35">
        <f t="shared" si="9"/>
        <v>0</v>
      </c>
      <c r="R55" s="72">
        <v>1103625</v>
      </c>
      <c r="S55" s="72">
        <f t="shared" si="10"/>
        <v>42110</v>
      </c>
      <c r="T55" s="62"/>
    </row>
    <row r="56" spans="1:20" s="73" customFormat="1">
      <c r="A56" s="8"/>
      <c r="B56" s="8"/>
      <c r="C56" s="8"/>
      <c r="D56" s="45"/>
      <c r="E56" s="46"/>
      <c r="F56" s="50" t="s">
        <v>110</v>
      </c>
      <c r="G56" s="82"/>
      <c r="H56" s="82"/>
      <c r="I56" s="82"/>
      <c r="J56" s="75" t="e">
        <f t="shared" ref="J56:J74" si="32">M56</f>
        <v>#REF!</v>
      </c>
      <c r="K56" s="35" t="e">
        <f>'1.02.'!M55</f>
        <v>#REF!</v>
      </c>
      <c r="L56" s="35"/>
      <c r="M56" s="93" t="e">
        <f t="shared" ref="M56:M74" si="33">K56+L56</f>
        <v>#REF!</v>
      </c>
      <c r="N56" s="35" t="e">
        <f t="shared" ref="N56:N65" si="34">I56-M56</f>
        <v>#REF!</v>
      </c>
      <c r="O56" s="70" t="e">
        <f t="shared" si="4"/>
        <v>#REF!</v>
      </c>
      <c r="P56" s="71" t="e">
        <f t="shared" si="8"/>
        <v>#REF!</v>
      </c>
      <c r="Q56" s="35" t="e">
        <f t="shared" si="9"/>
        <v>#REF!</v>
      </c>
      <c r="R56" s="72">
        <v>1103626</v>
      </c>
      <c r="S56" s="72" t="e">
        <f t="shared" si="10"/>
        <v>#REF!</v>
      </c>
      <c r="T56" s="62"/>
    </row>
    <row r="57" spans="1:20" s="73" customFormat="1">
      <c r="A57" s="8"/>
      <c r="B57" s="8"/>
      <c r="C57" s="8"/>
      <c r="D57" s="44"/>
      <c r="E57" s="52"/>
      <c r="F57" s="53" t="s">
        <v>111</v>
      </c>
      <c r="G57" s="84">
        <f>SUM(G58:G65)</f>
        <v>615150</v>
      </c>
      <c r="H57" s="84">
        <f t="shared" ref="H57:N57" si="35">SUM(H58:H65)</f>
        <v>243279</v>
      </c>
      <c r="I57" s="84">
        <f t="shared" si="35"/>
        <v>243279</v>
      </c>
      <c r="J57" s="108">
        <f t="shared" si="35"/>
        <v>243279</v>
      </c>
      <c r="K57" s="108">
        <f t="shared" si="35"/>
        <v>186048</v>
      </c>
      <c r="L57" s="108">
        <f t="shared" si="35"/>
        <v>57231</v>
      </c>
      <c r="M57" s="123">
        <f t="shared" si="35"/>
        <v>243279</v>
      </c>
      <c r="N57" s="123">
        <f t="shared" si="35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1103627</v>
      </c>
      <c r="S57" s="72">
        <f t="shared" si="10"/>
        <v>371871</v>
      </c>
      <c r="T57" s="62"/>
    </row>
    <row r="58" spans="1:20" s="73" customFormat="1">
      <c r="A58" s="8"/>
      <c r="B58" s="8"/>
      <c r="C58" s="8"/>
      <c r="D58" s="45"/>
      <c r="E58" s="45"/>
      <c r="F58" s="47" t="s">
        <v>46</v>
      </c>
      <c r="G58" s="83">
        <v>233757</v>
      </c>
      <c r="H58" s="83">
        <f>14105+15933+16957+18744+19587</f>
        <v>85326</v>
      </c>
      <c r="I58" s="83">
        <f>H58</f>
        <v>85326</v>
      </c>
      <c r="J58" s="75">
        <f>M58</f>
        <v>85326</v>
      </c>
      <c r="K58" s="35">
        <f>'1.06.'!M58</f>
        <v>65739</v>
      </c>
      <c r="L58" s="35">
        <v>19587</v>
      </c>
      <c r="M58" s="93">
        <f t="shared" si="33"/>
        <v>85326</v>
      </c>
      <c r="N58" s="35">
        <f t="shared" si="34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1103628</v>
      </c>
      <c r="S58" s="72">
        <f t="shared" si="10"/>
        <v>148431</v>
      </c>
      <c r="T58" s="62"/>
    </row>
    <row r="59" spans="1:20" s="73" customFormat="1">
      <c r="A59" s="8"/>
      <c r="B59" s="8"/>
      <c r="C59" s="8"/>
      <c r="D59" s="45"/>
      <c r="E59" s="45"/>
      <c r="F59" s="47" t="s">
        <v>8</v>
      </c>
      <c r="G59" s="83">
        <v>33218</v>
      </c>
      <c r="H59" s="83">
        <f>3154+3907+4339+5408+6049</f>
        <v>22857</v>
      </c>
      <c r="I59" s="83">
        <f t="shared" ref="I59:I65" si="36">H59</f>
        <v>22857</v>
      </c>
      <c r="J59" s="75">
        <f t="shared" si="32"/>
        <v>22857</v>
      </c>
      <c r="K59" s="35">
        <f>'1.06.'!M59</f>
        <v>16808</v>
      </c>
      <c r="L59" s="35">
        <v>6049</v>
      </c>
      <c r="M59" s="93">
        <f t="shared" si="33"/>
        <v>22857</v>
      </c>
      <c r="N59" s="35">
        <f t="shared" si="34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1103629</v>
      </c>
      <c r="S59" s="72">
        <f t="shared" si="10"/>
        <v>10361</v>
      </c>
      <c r="T59" s="62"/>
    </row>
    <row r="60" spans="1:20" s="73" customFormat="1">
      <c r="A60" s="8"/>
      <c r="B60" s="8"/>
      <c r="C60" s="8"/>
      <c r="D60" s="45"/>
      <c r="E60" s="45"/>
      <c r="F60" s="49" t="s">
        <v>9</v>
      </c>
      <c r="G60" s="83">
        <v>91657</v>
      </c>
      <c r="H60" s="83">
        <f>5815+6877+7129+7351+7978</f>
        <v>35150</v>
      </c>
      <c r="I60" s="83">
        <f t="shared" si="36"/>
        <v>35150</v>
      </c>
      <c r="J60" s="75">
        <f t="shared" si="32"/>
        <v>35150</v>
      </c>
      <c r="K60" s="35">
        <f>'1.06.'!M60</f>
        <v>27172</v>
      </c>
      <c r="L60" s="35">
        <v>7978</v>
      </c>
      <c r="M60" s="93">
        <f t="shared" si="33"/>
        <v>35150</v>
      </c>
      <c r="N60" s="35">
        <f t="shared" si="34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1103630</v>
      </c>
      <c r="S60" s="72">
        <f t="shared" si="10"/>
        <v>56507</v>
      </c>
      <c r="T60" s="62"/>
    </row>
    <row r="61" spans="1:20" s="73" customFormat="1">
      <c r="A61" s="8"/>
      <c r="B61" s="8"/>
      <c r="C61" s="8"/>
      <c r="D61" s="45"/>
      <c r="E61" s="45"/>
      <c r="F61" s="49" t="s">
        <v>10</v>
      </c>
      <c r="G61" s="83">
        <v>25221</v>
      </c>
      <c r="H61" s="83">
        <f>1864+2063+2209+2618+2782</f>
        <v>11536</v>
      </c>
      <c r="I61" s="83">
        <f t="shared" si="36"/>
        <v>11536</v>
      </c>
      <c r="J61" s="75">
        <f t="shared" si="32"/>
        <v>11536</v>
      </c>
      <c r="K61" s="35">
        <f>'1.06.'!M61</f>
        <v>8754</v>
      </c>
      <c r="L61" s="35">
        <v>2782</v>
      </c>
      <c r="M61" s="93">
        <f t="shared" si="33"/>
        <v>11536</v>
      </c>
      <c r="N61" s="35">
        <f t="shared" si="34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1103631</v>
      </c>
      <c r="S61" s="72">
        <f t="shared" si="10"/>
        <v>13685</v>
      </c>
      <c r="T61" s="62"/>
    </row>
    <row r="62" spans="1:20" s="73" customFormat="1">
      <c r="A62" s="8"/>
      <c r="B62" s="8"/>
      <c r="C62" s="8"/>
      <c r="D62" s="45"/>
      <c r="E62" s="45"/>
      <c r="F62" s="49" t="s">
        <v>47</v>
      </c>
      <c r="G62" s="83">
        <v>55364</v>
      </c>
      <c r="H62" s="83">
        <f>4910+5242+5520+5520+5820</f>
        <v>27012</v>
      </c>
      <c r="I62" s="83">
        <f t="shared" si="36"/>
        <v>27012</v>
      </c>
      <c r="J62" s="75">
        <f t="shared" si="32"/>
        <v>27012</v>
      </c>
      <c r="K62" s="35">
        <f>'1.06.'!M62</f>
        <v>21192</v>
      </c>
      <c r="L62" s="35">
        <v>5820</v>
      </c>
      <c r="M62" s="93">
        <f t="shared" si="33"/>
        <v>27012</v>
      </c>
      <c r="N62" s="35">
        <f t="shared" si="34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1103632</v>
      </c>
      <c r="S62" s="72">
        <f t="shared" si="10"/>
        <v>28352</v>
      </c>
      <c r="T62" s="62"/>
    </row>
    <row r="63" spans="1:20" s="73" customFormat="1">
      <c r="A63" s="8"/>
      <c r="B63" s="8"/>
      <c r="C63" s="8"/>
      <c r="D63" s="45"/>
      <c r="E63" s="45"/>
      <c r="F63" s="49" t="s">
        <v>48</v>
      </c>
      <c r="G63" s="83">
        <v>96579</v>
      </c>
      <c r="H63" s="83">
        <f>5824+6008+6007+7486+7934</f>
        <v>33259</v>
      </c>
      <c r="I63" s="83">
        <f t="shared" si="36"/>
        <v>33259</v>
      </c>
      <c r="J63" s="75">
        <f t="shared" si="32"/>
        <v>33259</v>
      </c>
      <c r="K63" s="35">
        <f>'1.06.'!M63</f>
        <v>25325</v>
      </c>
      <c r="L63" s="35">
        <v>7934</v>
      </c>
      <c r="M63" s="93">
        <f t="shared" si="33"/>
        <v>33259</v>
      </c>
      <c r="N63" s="35">
        <f t="shared" si="34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1103633</v>
      </c>
      <c r="S63" s="72">
        <f t="shared" si="10"/>
        <v>63320</v>
      </c>
      <c r="T63" s="62"/>
    </row>
    <row r="64" spans="1:20" s="73" customFormat="1">
      <c r="A64" s="8"/>
      <c r="B64" s="8"/>
      <c r="C64" s="8"/>
      <c r="D64" s="45"/>
      <c r="E64" s="45"/>
      <c r="F64" s="49" t="s">
        <v>12</v>
      </c>
      <c r="G64" s="83">
        <v>33833</v>
      </c>
      <c r="H64" s="83">
        <f>2019+2264+2458+2800+3194</f>
        <v>12735</v>
      </c>
      <c r="I64" s="83">
        <f t="shared" si="36"/>
        <v>12735</v>
      </c>
      <c r="J64" s="75">
        <f t="shared" si="32"/>
        <v>12735</v>
      </c>
      <c r="K64" s="35">
        <f>'1.06.'!M64</f>
        <v>9541</v>
      </c>
      <c r="L64" s="35">
        <v>3194</v>
      </c>
      <c r="M64" s="93">
        <f t="shared" si="33"/>
        <v>12735</v>
      </c>
      <c r="N64" s="35">
        <f t="shared" si="34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1103634</v>
      </c>
      <c r="S64" s="72">
        <f t="shared" si="10"/>
        <v>21098</v>
      </c>
      <c r="T64" s="62"/>
    </row>
    <row r="65" spans="1:20" s="73" customFormat="1">
      <c r="A65" s="8"/>
      <c r="B65" s="8"/>
      <c r="C65" s="8"/>
      <c r="D65" s="45"/>
      <c r="E65" s="45"/>
      <c r="F65" s="49" t="s">
        <v>11</v>
      </c>
      <c r="G65" s="83">
        <v>45521</v>
      </c>
      <c r="H65" s="83">
        <f>2410+2633+2674+3800+3887</f>
        <v>15404</v>
      </c>
      <c r="I65" s="83">
        <f t="shared" si="36"/>
        <v>15404</v>
      </c>
      <c r="J65" s="75">
        <f t="shared" si="32"/>
        <v>15404</v>
      </c>
      <c r="K65" s="35">
        <f>'1.06.'!M65</f>
        <v>11517</v>
      </c>
      <c r="L65" s="35">
        <v>3887</v>
      </c>
      <c r="M65" s="93">
        <f t="shared" si="33"/>
        <v>15404</v>
      </c>
      <c r="N65" s="35">
        <f t="shared" si="34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1103635</v>
      </c>
      <c r="S65" s="72">
        <f t="shared" si="10"/>
        <v>30117</v>
      </c>
      <c r="T65" s="62"/>
    </row>
    <row r="66" spans="1:20" s="73" customFormat="1" ht="25.5">
      <c r="A66" s="8"/>
      <c r="B66" s="8"/>
      <c r="C66" s="8"/>
      <c r="D66" s="44"/>
      <c r="E66" s="52"/>
      <c r="F66" s="53" t="s">
        <v>112</v>
      </c>
      <c r="G66" s="84">
        <f>SUM(G67:G74)</f>
        <v>111098</v>
      </c>
      <c r="H66" s="84">
        <f t="shared" ref="H66:N66" si="37">SUM(H67:H74)</f>
        <v>24366</v>
      </c>
      <c r="I66" s="84">
        <f t="shared" si="37"/>
        <v>24366</v>
      </c>
      <c r="J66" s="108">
        <f t="shared" si="37"/>
        <v>24366</v>
      </c>
      <c r="K66" s="108">
        <f t="shared" si="37"/>
        <v>18910</v>
      </c>
      <c r="L66" s="108">
        <f t="shared" si="37"/>
        <v>5456</v>
      </c>
      <c r="M66" s="123">
        <f t="shared" si="37"/>
        <v>24366</v>
      </c>
      <c r="N66" s="123">
        <f t="shared" si="37"/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1103636</v>
      </c>
      <c r="S66" s="72">
        <f t="shared" si="10"/>
        <v>86732</v>
      </c>
      <c r="T66" s="62"/>
    </row>
    <row r="67" spans="1:20" s="73" customFormat="1">
      <c r="A67" s="8"/>
      <c r="B67" s="8"/>
      <c r="C67" s="8"/>
      <c r="D67" s="45"/>
      <c r="E67" s="45"/>
      <c r="F67" s="47" t="s">
        <v>46</v>
      </c>
      <c r="G67" s="83">
        <v>38884</v>
      </c>
      <c r="H67" s="83">
        <f>1421+1689+1718+1574+1629</f>
        <v>8031</v>
      </c>
      <c r="I67" s="83">
        <f>H67</f>
        <v>8031</v>
      </c>
      <c r="J67" s="75">
        <f t="shared" si="32"/>
        <v>8031</v>
      </c>
      <c r="K67" s="35">
        <f>'1.06.'!M67</f>
        <v>6402</v>
      </c>
      <c r="L67" s="35">
        <v>1629</v>
      </c>
      <c r="M67" s="93">
        <f t="shared" si="33"/>
        <v>8031</v>
      </c>
      <c r="N67" s="35">
        <f t="shared" ref="N67:N74" si="38">I67-M67</f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1103637</v>
      </c>
      <c r="S67" s="72">
        <f t="shared" si="10"/>
        <v>30853</v>
      </c>
      <c r="T67" s="62"/>
    </row>
    <row r="68" spans="1:20" s="73" customFormat="1">
      <c r="A68" s="8"/>
      <c r="B68" s="8"/>
      <c r="C68" s="8"/>
      <c r="D68" s="45"/>
      <c r="E68" s="45"/>
      <c r="F68" s="47" t="s">
        <v>8</v>
      </c>
      <c r="G68" s="83">
        <v>7221</v>
      </c>
      <c r="H68" s="83">
        <f>238+322+361+438+481</f>
        <v>1840</v>
      </c>
      <c r="I68" s="83">
        <f t="shared" ref="I68:I74" si="39">H68</f>
        <v>1840</v>
      </c>
      <c r="J68" s="75">
        <f t="shared" si="32"/>
        <v>1840</v>
      </c>
      <c r="K68" s="35">
        <f>'1.06.'!M68</f>
        <v>1359</v>
      </c>
      <c r="L68" s="35">
        <v>481</v>
      </c>
      <c r="M68" s="93">
        <f t="shared" si="33"/>
        <v>1840</v>
      </c>
      <c r="N68" s="35">
        <f t="shared" si="38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1103638</v>
      </c>
      <c r="S68" s="72">
        <f t="shared" si="10"/>
        <v>5381</v>
      </c>
      <c r="T68" s="62"/>
    </row>
    <row r="69" spans="1:20" s="73" customFormat="1">
      <c r="A69" s="8"/>
      <c r="B69" s="8"/>
      <c r="C69" s="8"/>
      <c r="D69" s="45"/>
      <c r="E69" s="45"/>
      <c r="F69" s="49" t="s">
        <v>9</v>
      </c>
      <c r="G69" s="83">
        <v>13554</v>
      </c>
      <c r="H69" s="83">
        <f>588+692+689+609+643</f>
        <v>3221</v>
      </c>
      <c r="I69" s="83">
        <f t="shared" si="39"/>
        <v>3221</v>
      </c>
      <c r="J69" s="75">
        <f t="shared" si="32"/>
        <v>3221</v>
      </c>
      <c r="K69" s="35">
        <f>'1.06.'!M69</f>
        <v>2578</v>
      </c>
      <c r="L69" s="35">
        <v>643</v>
      </c>
      <c r="M69" s="93">
        <f t="shared" si="33"/>
        <v>3221</v>
      </c>
      <c r="N69" s="35">
        <f t="shared" si="38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1103639</v>
      </c>
      <c r="S69" s="72">
        <f t="shared" si="10"/>
        <v>10333</v>
      </c>
      <c r="T69" s="62"/>
    </row>
    <row r="70" spans="1:20" s="73" customFormat="1">
      <c r="A70" s="8"/>
      <c r="B70" s="8"/>
      <c r="C70" s="8"/>
      <c r="D70" s="45"/>
      <c r="E70" s="45"/>
      <c r="F70" s="49" t="s">
        <v>10</v>
      </c>
      <c r="G70" s="83">
        <v>4777</v>
      </c>
      <c r="H70" s="83">
        <f>215+246+259+233+763</f>
        <v>1716</v>
      </c>
      <c r="I70" s="83">
        <f t="shared" si="39"/>
        <v>1716</v>
      </c>
      <c r="J70" s="75">
        <f t="shared" si="32"/>
        <v>1716</v>
      </c>
      <c r="K70" s="35">
        <f>'1.06.'!M70</f>
        <v>953</v>
      </c>
      <c r="L70" s="35">
        <v>763</v>
      </c>
      <c r="M70" s="93">
        <f t="shared" si="33"/>
        <v>1716</v>
      </c>
      <c r="N70" s="35">
        <f t="shared" si="38"/>
        <v>0</v>
      </c>
      <c r="O70" s="70">
        <f t="shared" si="4"/>
        <v>100</v>
      </c>
      <c r="P70" s="71">
        <f t="shared" si="8"/>
        <v>0</v>
      </c>
      <c r="Q70" s="35">
        <f t="shared" si="9"/>
        <v>0</v>
      </c>
      <c r="R70" s="72">
        <v>1103640</v>
      </c>
      <c r="S70" s="72">
        <f t="shared" si="10"/>
        <v>3061</v>
      </c>
      <c r="T70" s="62"/>
    </row>
    <row r="71" spans="1:20" s="73" customFormat="1">
      <c r="A71" s="8"/>
      <c r="B71" s="8"/>
      <c r="C71" s="8"/>
      <c r="D71" s="45"/>
      <c r="E71" s="45"/>
      <c r="F71" s="49" t="s">
        <v>47</v>
      </c>
      <c r="G71" s="83">
        <v>10999</v>
      </c>
      <c r="H71" s="83">
        <f>508+650+573+459+488</f>
        <v>2678</v>
      </c>
      <c r="I71" s="83">
        <f t="shared" si="39"/>
        <v>2678</v>
      </c>
      <c r="J71" s="75">
        <f t="shared" si="32"/>
        <v>2678</v>
      </c>
      <c r="K71" s="35">
        <f>'1.06.'!M71</f>
        <v>2190</v>
      </c>
      <c r="L71" s="35">
        <v>488</v>
      </c>
      <c r="M71" s="93">
        <f t="shared" si="33"/>
        <v>2678</v>
      </c>
      <c r="N71" s="35">
        <f t="shared" si="38"/>
        <v>0</v>
      </c>
      <c r="O71" s="70">
        <f t="shared" ref="O71:O74" si="40">M71/I71*100</f>
        <v>100</v>
      </c>
      <c r="P71" s="71">
        <f t="shared" si="8"/>
        <v>0</v>
      </c>
      <c r="Q71" s="35">
        <f t="shared" si="9"/>
        <v>0</v>
      </c>
      <c r="R71" s="72">
        <v>1103641</v>
      </c>
      <c r="S71" s="72">
        <f t="shared" si="10"/>
        <v>8321</v>
      </c>
      <c r="T71" s="62"/>
    </row>
    <row r="72" spans="1:20" s="73" customFormat="1">
      <c r="A72" s="8"/>
      <c r="B72" s="8"/>
      <c r="C72" s="8"/>
      <c r="D72" s="45"/>
      <c r="E72" s="45"/>
      <c r="F72" s="49" t="s">
        <v>48</v>
      </c>
      <c r="G72" s="83">
        <v>21109</v>
      </c>
      <c r="H72" s="83">
        <f>766+770+765+796+812</f>
        <v>3909</v>
      </c>
      <c r="I72" s="83">
        <f t="shared" si="39"/>
        <v>3909</v>
      </c>
      <c r="J72" s="75">
        <f t="shared" si="32"/>
        <v>3909</v>
      </c>
      <c r="K72" s="35">
        <f>'1.06.'!M72</f>
        <v>3097</v>
      </c>
      <c r="L72" s="35">
        <v>812</v>
      </c>
      <c r="M72" s="93">
        <f t="shared" si="33"/>
        <v>3909</v>
      </c>
      <c r="N72" s="35">
        <f t="shared" si="38"/>
        <v>0</v>
      </c>
      <c r="O72" s="70">
        <f t="shared" si="40"/>
        <v>100</v>
      </c>
      <c r="P72" s="71">
        <f t="shared" si="8"/>
        <v>0</v>
      </c>
      <c r="Q72" s="35">
        <f t="shared" si="9"/>
        <v>0</v>
      </c>
      <c r="R72" s="72">
        <v>1103642</v>
      </c>
      <c r="S72" s="72">
        <f t="shared" si="10"/>
        <v>17200</v>
      </c>
      <c r="T72" s="62"/>
    </row>
    <row r="73" spans="1:20" s="73" customFormat="1">
      <c r="A73" s="8"/>
      <c r="B73" s="8"/>
      <c r="C73" s="8"/>
      <c r="D73" s="45"/>
      <c r="E73" s="45"/>
      <c r="F73" s="49" t="s">
        <v>12</v>
      </c>
      <c r="G73" s="83">
        <v>6554</v>
      </c>
      <c r="H73" s="83">
        <f>234+267+315+266+257</f>
        <v>1339</v>
      </c>
      <c r="I73" s="83">
        <f t="shared" si="39"/>
        <v>1339</v>
      </c>
      <c r="J73" s="75">
        <f t="shared" si="32"/>
        <v>1339</v>
      </c>
      <c r="K73" s="35">
        <f>'1.06.'!M73</f>
        <v>1082</v>
      </c>
      <c r="L73" s="35">
        <v>257</v>
      </c>
      <c r="M73" s="93">
        <f t="shared" si="33"/>
        <v>1339</v>
      </c>
      <c r="N73" s="35">
        <f t="shared" si="38"/>
        <v>0</v>
      </c>
      <c r="O73" s="70">
        <f t="shared" si="40"/>
        <v>100</v>
      </c>
      <c r="P73" s="71">
        <f t="shared" si="8"/>
        <v>0</v>
      </c>
      <c r="Q73" s="35">
        <f t="shared" si="9"/>
        <v>0</v>
      </c>
      <c r="R73" s="72">
        <v>1103643</v>
      </c>
      <c r="S73" s="72">
        <f t="shared" si="10"/>
        <v>5215</v>
      </c>
      <c r="T73" s="62"/>
    </row>
    <row r="74" spans="1:20" s="73" customFormat="1">
      <c r="A74" s="8"/>
      <c r="B74" s="8"/>
      <c r="C74" s="8"/>
      <c r="D74" s="45"/>
      <c r="E74" s="45"/>
      <c r="F74" s="49" t="s">
        <v>11</v>
      </c>
      <c r="G74" s="83">
        <v>8000</v>
      </c>
      <c r="H74" s="83">
        <f>267+286+318+378+383</f>
        <v>1632</v>
      </c>
      <c r="I74" s="83">
        <f t="shared" si="39"/>
        <v>1632</v>
      </c>
      <c r="J74" s="75">
        <f t="shared" si="32"/>
        <v>1632</v>
      </c>
      <c r="K74" s="35">
        <f>'1.06.'!M74</f>
        <v>1249</v>
      </c>
      <c r="L74" s="35">
        <v>383</v>
      </c>
      <c r="M74" s="93">
        <f t="shared" si="33"/>
        <v>1632</v>
      </c>
      <c r="N74" s="35">
        <f t="shared" si="38"/>
        <v>0</v>
      </c>
      <c r="O74" s="70">
        <f t="shared" si="40"/>
        <v>100</v>
      </c>
      <c r="P74" s="71">
        <f t="shared" si="8"/>
        <v>0</v>
      </c>
      <c r="Q74" s="35">
        <f t="shared" si="9"/>
        <v>0</v>
      </c>
      <c r="R74" s="72">
        <v>1103644</v>
      </c>
      <c r="S74" s="72">
        <f t="shared" si="10"/>
        <v>6368</v>
      </c>
      <c r="T74" s="62"/>
    </row>
    <row r="75" spans="1:20" s="73" customFormat="1">
      <c r="A75" s="8"/>
      <c r="B75" s="8"/>
      <c r="C75" s="8"/>
      <c r="D75" s="45"/>
      <c r="E75" s="45"/>
      <c r="F75" s="51" t="s">
        <v>58</v>
      </c>
      <c r="G75" s="82">
        <f>SUM(G76:G83)</f>
        <v>314536</v>
      </c>
      <c r="H75" s="82">
        <f t="shared" ref="H75:O75" si="41">SUM(H76:H83)</f>
        <v>314536</v>
      </c>
      <c r="I75" s="82">
        <f t="shared" si="41"/>
        <v>277536</v>
      </c>
      <c r="J75" s="108">
        <f t="shared" si="41"/>
        <v>277536</v>
      </c>
      <c r="K75" s="108">
        <f t="shared" si="41"/>
        <v>244478</v>
      </c>
      <c r="L75" s="108">
        <f t="shared" si="41"/>
        <v>33058</v>
      </c>
      <c r="M75" s="123">
        <f t="shared" si="41"/>
        <v>277536</v>
      </c>
      <c r="N75" s="123">
        <f t="shared" si="41"/>
        <v>0</v>
      </c>
      <c r="O75" s="82" t="e">
        <f t="shared" si="41"/>
        <v>#DIV/0!</v>
      </c>
      <c r="P75" s="71">
        <f t="shared" ref="P75:P148" si="42">J75-M75</f>
        <v>0</v>
      </c>
      <c r="Q75" s="35">
        <f t="shared" ref="Q75:Q148" si="43">H75-J75</f>
        <v>37000</v>
      </c>
      <c r="R75" s="72">
        <v>1103645</v>
      </c>
      <c r="S75" s="72">
        <f t="shared" ref="S75:S148" si="44">G75-M75</f>
        <v>37000</v>
      </c>
      <c r="T75" s="62"/>
    </row>
    <row r="76" spans="1:20" s="73" customFormat="1">
      <c r="A76" s="8"/>
      <c r="B76" s="8"/>
      <c r="C76" s="8"/>
      <c r="D76" s="45"/>
      <c r="E76" s="45"/>
      <c r="F76" s="47" t="s">
        <v>46</v>
      </c>
      <c r="G76" s="83"/>
      <c r="H76" s="83"/>
      <c r="I76" s="83"/>
      <c r="J76" s="75">
        <f t="shared" ref="J76:J83" si="45">M76</f>
        <v>0</v>
      </c>
      <c r="K76" s="35">
        <f>'1.06.'!M76</f>
        <v>0</v>
      </c>
      <c r="L76" s="35"/>
      <c r="M76" s="93">
        <f t="shared" ref="M76:M83" si="46">K76+L76</f>
        <v>0</v>
      </c>
      <c r="N76" s="35">
        <f t="shared" ref="N76:N83" si="47">I76-M76</f>
        <v>0</v>
      </c>
      <c r="O76" s="70" t="e">
        <f t="shared" ref="O76:O83" si="48">M76/I76*100</f>
        <v>#DIV/0!</v>
      </c>
      <c r="P76" s="71">
        <f t="shared" si="42"/>
        <v>0</v>
      </c>
      <c r="Q76" s="35">
        <f t="shared" si="43"/>
        <v>0</v>
      </c>
      <c r="R76" s="72">
        <v>1103646</v>
      </c>
      <c r="S76" s="72">
        <f t="shared" si="44"/>
        <v>0</v>
      </c>
      <c r="T76" s="62"/>
    </row>
    <row r="77" spans="1:20" s="73" customFormat="1">
      <c r="A77" s="8"/>
      <c r="B77" s="8"/>
      <c r="C77" s="8"/>
      <c r="D77" s="45"/>
      <c r="E77" s="45"/>
      <c r="F77" s="47" t="s">
        <v>8</v>
      </c>
      <c r="G77" s="83"/>
      <c r="H77" s="83"/>
      <c r="I77" s="83"/>
      <c r="J77" s="75">
        <f t="shared" si="45"/>
        <v>0</v>
      </c>
      <c r="K77" s="35">
        <f>'1.06.'!M77</f>
        <v>0</v>
      </c>
      <c r="L77" s="35"/>
      <c r="M77" s="93">
        <f t="shared" si="46"/>
        <v>0</v>
      </c>
      <c r="N77" s="35">
        <f t="shared" si="47"/>
        <v>0</v>
      </c>
      <c r="O77" s="70" t="e">
        <f t="shared" si="48"/>
        <v>#DIV/0!</v>
      </c>
      <c r="P77" s="71">
        <f t="shared" si="42"/>
        <v>0</v>
      </c>
      <c r="Q77" s="35">
        <f t="shared" si="43"/>
        <v>0</v>
      </c>
      <c r="R77" s="72">
        <v>1103647</v>
      </c>
      <c r="S77" s="72">
        <f t="shared" si="44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9</v>
      </c>
      <c r="G78" s="83"/>
      <c r="H78" s="83"/>
      <c r="I78" s="83"/>
      <c r="J78" s="75">
        <f t="shared" si="45"/>
        <v>0</v>
      </c>
      <c r="K78" s="35">
        <f>'1.06.'!M78</f>
        <v>0</v>
      </c>
      <c r="L78" s="35"/>
      <c r="M78" s="93">
        <f t="shared" si="46"/>
        <v>0</v>
      </c>
      <c r="N78" s="35">
        <f t="shared" si="47"/>
        <v>0</v>
      </c>
      <c r="O78" s="70" t="e">
        <f t="shared" si="48"/>
        <v>#DIV/0!</v>
      </c>
      <c r="P78" s="71">
        <f t="shared" si="42"/>
        <v>0</v>
      </c>
      <c r="Q78" s="35">
        <f t="shared" si="43"/>
        <v>0</v>
      </c>
      <c r="R78" s="72">
        <v>1103648</v>
      </c>
      <c r="S78" s="72">
        <f t="shared" si="44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10</v>
      </c>
      <c r="G79" s="83"/>
      <c r="H79" s="83"/>
      <c r="I79" s="83"/>
      <c r="J79" s="75">
        <f t="shared" si="45"/>
        <v>0</v>
      </c>
      <c r="K79" s="35">
        <f>'1.06.'!M79</f>
        <v>0</v>
      </c>
      <c r="L79" s="35"/>
      <c r="M79" s="93">
        <f t="shared" si="46"/>
        <v>0</v>
      </c>
      <c r="N79" s="35">
        <f t="shared" si="47"/>
        <v>0</v>
      </c>
      <c r="O79" s="70" t="e">
        <f t="shared" si="48"/>
        <v>#DIV/0!</v>
      </c>
      <c r="P79" s="71">
        <f t="shared" si="42"/>
        <v>0</v>
      </c>
      <c r="Q79" s="35">
        <f t="shared" si="43"/>
        <v>0</v>
      </c>
      <c r="R79" s="72">
        <v>1103649</v>
      </c>
      <c r="S79" s="72">
        <f t="shared" si="44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47</v>
      </c>
      <c r="G80" s="83"/>
      <c r="H80" s="83"/>
      <c r="I80" s="83"/>
      <c r="J80" s="75">
        <f t="shared" si="45"/>
        <v>0</v>
      </c>
      <c r="K80" s="35">
        <f>'1.06.'!M80</f>
        <v>0</v>
      </c>
      <c r="L80" s="35"/>
      <c r="M80" s="93">
        <f t="shared" si="46"/>
        <v>0</v>
      </c>
      <c r="N80" s="35">
        <f t="shared" si="47"/>
        <v>0</v>
      </c>
      <c r="O80" s="70" t="e">
        <f t="shared" si="48"/>
        <v>#DIV/0!</v>
      </c>
      <c r="P80" s="71">
        <f t="shared" si="42"/>
        <v>0</v>
      </c>
      <c r="Q80" s="35">
        <f t="shared" si="43"/>
        <v>0</v>
      </c>
      <c r="R80" s="72">
        <v>1103650</v>
      </c>
      <c r="S80" s="72">
        <f t="shared" si="44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48</v>
      </c>
      <c r="G81" s="83"/>
      <c r="H81" s="83"/>
      <c r="I81" s="83"/>
      <c r="J81" s="75">
        <f t="shared" si="45"/>
        <v>0</v>
      </c>
      <c r="K81" s="35">
        <f>'1.06.'!M81</f>
        <v>0</v>
      </c>
      <c r="L81" s="35"/>
      <c r="M81" s="93">
        <f t="shared" si="46"/>
        <v>0</v>
      </c>
      <c r="N81" s="35">
        <f t="shared" si="47"/>
        <v>0</v>
      </c>
      <c r="O81" s="70" t="e">
        <f t="shared" si="48"/>
        <v>#DIV/0!</v>
      </c>
      <c r="P81" s="71">
        <f t="shared" si="42"/>
        <v>0</v>
      </c>
      <c r="Q81" s="35">
        <f t="shared" si="43"/>
        <v>0</v>
      </c>
      <c r="R81" s="72">
        <v>1103651</v>
      </c>
      <c r="S81" s="72">
        <f t="shared" si="44"/>
        <v>0</v>
      </c>
      <c r="T81" s="62"/>
    </row>
    <row r="82" spans="1:20" s="73" customFormat="1">
      <c r="A82" s="8"/>
      <c r="B82" s="8"/>
      <c r="C82" s="8"/>
      <c r="D82" s="45"/>
      <c r="E82" s="45"/>
      <c r="F82" s="49" t="s">
        <v>12</v>
      </c>
      <c r="G82" s="83">
        <v>314536</v>
      </c>
      <c r="H82" s="83">
        <v>314536</v>
      </c>
      <c r="I82" s="83">
        <f>125000+119478+33058</f>
        <v>277536</v>
      </c>
      <c r="J82" s="75">
        <f t="shared" si="45"/>
        <v>277536</v>
      </c>
      <c r="K82" s="35">
        <f>'1.06.'!M82</f>
        <v>244478</v>
      </c>
      <c r="L82" s="35">
        <v>33058</v>
      </c>
      <c r="M82" s="93">
        <f t="shared" si="46"/>
        <v>277536</v>
      </c>
      <c r="N82" s="35">
        <f t="shared" si="47"/>
        <v>0</v>
      </c>
      <c r="O82" s="70">
        <f t="shared" si="48"/>
        <v>100</v>
      </c>
      <c r="P82" s="71">
        <f t="shared" si="42"/>
        <v>0</v>
      </c>
      <c r="Q82" s="35">
        <f t="shared" si="43"/>
        <v>37000</v>
      </c>
      <c r="R82" s="72">
        <v>1103652</v>
      </c>
      <c r="S82" s="72">
        <f t="shared" si="44"/>
        <v>37000</v>
      </c>
      <c r="T82" s="62"/>
    </row>
    <row r="83" spans="1:20" s="73" customFormat="1">
      <c r="A83" s="8"/>
      <c r="B83" s="8"/>
      <c r="C83" s="8"/>
      <c r="D83" s="45"/>
      <c r="E83" s="45"/>
      <c r="F83" s="49" t="s">
        <v>11</v>
      </c>
      <c r="G83" s="83"/>
      <c r="H83" s="83"/>
      <c r="I83" s="83"/>
      <c r="J83" s="75">
        <f t="shared" si="45"/>
        <v>0</v>
      </c>
      <c r="K83" s="35">
        <f>'1.06.'!M83</f>
        <v>0</v>
      </c>
      <c r="L83" s="35"/>
      <c r="M83" s="93">
        <f t="shared" si="46"/>
        <v>0</v>
      </c>
      <c r="N83" s="35">
        <f t="shared" si="47"/>
        <v>0</v>
      </c>
      <c r="O83" s="70" t="e">
        <f t="shared" si="48"/>
        <v>#DIV/0!</v>
      </c>
      <c r="P83" s="71">
        <f t="shared" si="42"/>
        <v>0</v>
      </c>
      <c r="Q83" s="35">
        <f t="shared" si="43"/>
        <v>0</v>
      </c>
      <c r="R83" s="72">
        <v>1103653</v>
      </c>
      <c r="S83" s="72">
        <f t="shared" si="44"/>
        <v>0</v>
      </c>
      <c r="T83" s="62"/>
    </row>
    <row r="84" spans="1:20" s="73" customFormat="1" ht="25.5">
      <c r="A84" s="8"/>
      <c r="B84" s="8"/>
      <c r="C84" s="8"/>
      <c r="D84" s="45"/>
      <c r="E84" s="45"/>
      <c r="F84" s="51" t="s">
        <v>59</v>
      </c>
      <c r="G84" s="82">
        <f>SUM(G85:G92)</f>
        <v>293942</v>
      </c>
      <c r="H84" s="82">
        <f t="shared" ref="H84:O84" si="49">SUM(H85:H92)</f>
        <v>213353</v>
      </c>
      <c r="I84" s="82">
        <f t="shared" si="49"/>
        <v>179345</v>
      </c>
      <c r="J84" s="108">
        <f t="shared" si="49"/>
        <v>179345</v>
      </c>
      <c r="K84" s="108">
        <f t="shared" si="49"/>
        <v>139708</v>
      </c>
      <c r="L84" s="108">
        <f t="shared" si="49"/>
        <v>39637</v>
      </c>
      <c r="M84" s="123">
        <f t="shared" si="49"/>
        <v>179345</v>
      </c>
      <c r="N84" s="123">
        <f t="shared" si="49"/>
        <v>0</v>
      </c>
      <c r="O84" s="82">
        <f t="shared" si="49"/>
        <v>800</v>
      </c>
      <c r="P84" s="71">
        <f t="shared" si="42"/>
        <v>0</v>
      </c>
      <c r="Q84" s="35">
        <f t="shared" si="43"/>
        <v>34008</v>
      </c>
      <c r="R84" s="72">
        <v>1103654</v>
      </c>
      <c r="S84" s="72">
        <f t="shared" si="44"/>
        <v>114597</v>
      </c>
      <c r="T84" s="62"/>
    </row>
    <row r="85" spans="1:20" s="73" customFormat="1">
      <c r="A85" s="8"/>
      <c r="B85" s="8"/>
      <c r="C85" s="8"/>
      <c r="D85" s="45"/>
      <c r="E85" s="45"/>
      <c r="F85" s="47" t="s">
        <v>46</v>
      </c>
      <c r="G85" s="83">
        <v>188942</v>
      </c>
      <c r="H85" s="83">
        <f>20908+10000+29084+13201+68790</f>
        <v>141983</v>
      </c>
      <c r="I85" s="83">
        <f>20908+10000+29084+13201+34782</f>
        <v>107975</v>
      </c>
      <c r="J85" s="75">
        <f t="shared" ref="J85:J92" si="50">M85</f>
        <v>107975</v>
      </c>
      <c r="K85" s="35">
        <f>'1.06.'!M85</f>
        <v>73193</v>
      </c>
      <c r="L85" s="35">
        <v>34782</v>
      </c>
      <c r="M85" s="93">
        <f t="shared" ref="M85:M92" si="51">K85+L85</f>
        <v>107975</v>
      </c>
      <c r="N85" s="35">
        <f t="shared" ref="N85:N92" si="52">I85-M85</f>
        <v>0</v>
      </c>
      <c r="O85" s="70">
        <f t="shared" ref="O85:O158" si="53">M85/I85*100</f>
        <v>100</v>
      </c>
      <c r="P85" s="71">
        <f t="shared" si="42"/>
        <v>0</v>
      </c>
      <c r="Q85" s="35">
        <f t="shared" si="43"/>
        <v>34008</v>
      </c>
      <c r="R85" s="72">
        <v>1103655</v>
      </c>
      <c r="S85" s="72">
        <f t="shared" si="44"/>
        <v>80967</v>
      </c>
      <c r="T85" s="62"/>
    </row>
    <row r="86" spans="1:20" s="73" customFormat="1">
      <c r="A86" s="8"/>
      <c r="B86" s="8"/>
      <c r="C86" s="8"/>
      <c r="D86" s="45"/>
      <c r="E86" s="45"/>
      <c r="F86" s="47" t="s">
        <v>8</v>
      </c>
      <c r="G86" s="83">
        <v>15000</v>
      </c>
      <c r="H86" s="83">
        <f>6986+7406+608</f>
        <v>15000</v>
      </c>
      <c r="I86" s="83">
        <f t="shared" ref="I86:I92" si="54">H86</f>
        <v>15000</v>
      </c>
      <c r="J86" s="75">
        <f t="shared" si="50"/>
        <v>15000</v>
      </c>
      <c r="K86" s="35">
        <f>'1.06.'!M86</f>
        <v>15000</v>
      </c>
      <c r="L86" s="35"/>
      <c r="M86" s="93">
        <f t="shared" si="51"/>
        <v>15000</v>
      </c>
      <c r="N86" s="35">
        <f t="shared" si="52"/>
        <v>0</v>
      </c>
      <c r="O86" s="70">
        <f t="shared" si="53"/>
        <v>100</v>
      </c>
      <c r="P86" s="71">
        <f t="shared" si="42"/>
        <v>0</v>
      </c>
      <c r="Q86" s="35">
        <f t="shared" si="43"/>
        <v>0</v>
      </c>
      <c r="R86" s="72">
        <v>1103656</v>
      </c>
      <c r="S86" s="72">
        <f t="shared" si="44"/>
        <v>0</v>
      </c>
      <c r="T86" s="62"/>
    </row>
    <row r="87" spans="1:20" s="73" customFormat="1">
      <c r="A87" s="8"/>
      <c r="B87" s="8"/>
      <c r="C87" s="8"/>
      <c r="D87" s="45"/>
      <c r="E87" s="45"/>
      <c r="F87" s="49" t="s">
        <v>9</v>
      </c>
      <c r="G87" s="83">
        <v>15000</v>
      </c>
      <c r="H87" s="83">
        <f>3950+6105+1105+1105+1105</f>
        <v>13370</v>
      </c>
      <c r="I87" s="83">
        <f t="shared" si="54"/>
        <v>13370</v>
      </c>
      <c r="J87" s="75">
        <f t="shared" si="50"/>
        <v>13370</v>
      </c>
      <c r="K87" s="35">
        <f>'1.06.'!M87</f>
        <v>12265</v>
      </c>
      <c r="L87" s="35">
        <v>1105</v>
      </c>
      <c r="M87" s="93">
        <f t="shared" si="51"/>
        <v>13370</v>
      </c>
      <c r="N87" s="35">
        <f t="shared" si="52"/>
        <v>0</v>
      </c>
      <c r="O87" s="70">
        <f t="shared" si="53"/>
        <v>100</v>
      </c>
      <c r="P87" s="71">
        <f t="shared" si="42"/>
        <v>0</v>
      </c>
      <c r="Q87" s="35">
        <f t="shared" si="43"/>
        <v>0</v>
      </c>
      <c r="R87" s="72">
        <v>1103657</v>
      </c>
      <c r="S87" s="72">
        <f t="shared" si="44"/>
        <v>1630</v>
      </c>
      <c r="T87" s="62"/>
    </row>
    <row r="88" spans="1:20" s="73" customFormat="1">
      <c r="A88" s="8"/>
      <c r="B88" s="8"/>
      <c r="C88" s="8"/>
      <c r="D88" s="45"/>
      <c r="E88" s="45"/>
      <c r="F88" s="49" t="s">
        <v>10</v>
      </c>
      <c r="G88" s="83">
        <v>15000</v>
      </c>
      <c r="H88" s="83">
        <f>1000+1500+1500+1500</f>
        <v>5500</v>
      </c>
      <c r="I88" s="83">
        <f t="shared" si="54"/>
        <v>5500</v>
      </c>
      <c r="J88" s="75">
        <f t="shared" si="50"/>
        <v>5500</v>
      </c>
      <c r="K88" s="35">
        <f>'1.06.'!M88</f>
        <v>4000</v>
      </c>
      <c r="L88" s="35">
        <v>1500</v>
      </c>
      <c r="M88" s="93">
        <f t="shared" si="51"/>
        <v>5500</v>
      </c>
      <c r="N88" s="35">
        <f t="shared" si="52"/>
        <v>0</v>
      </c>
      <c r="O88" s="70">
        <f t="shared" si="53"/>
        <v>100</v>
      </c>
      <c r="P88" s="71">
        <f t="shared" si="42"/>
        <v>0</v>
      </c>
      <c r="Q88" s="35">
        <f t="shared" si="43"/>
        <v>0</v>
      </c>
      <c r="R88" s="72">
        <v>1103658</v>
      </c>
      <c r="S88" s="72">
        <f t="shared" si="44"/>
        <v>9500</v>
      </c>
      <c r="T88" s="62"/>
    </row>
    <row r="89" spans="1:20" s="73" customFormat="1">
      <c r="A89" s="8"/>
      <c r="B89" s="8"/>
      <c r="C89" s="8"/>
      <c r="D89" s="45"/>
      <c r="E89" s="45"/>
      <c r="F89" s="49" t="s">
        <v>47</v>
      </c>
      <c r="G89" s="83">
        <v>15000</v>
      </c>
      <c r="H89" s="83">
        <f>2500+1250+1250+1250+1250</f>
        <v>7500</v>
      </c>
      <c r="I89" s="83">
        <f t="shared" si="54"/>
        <v>7500</v>
      </c>
      <c r="J89" s="75">
        <f t="shared" si="50"/>
        <v>7500</v>
      </c>
      <c r="K89" s="35">
        <f>'1.06.'!M89</f>
        <v>6250</v>
      </c>
      <c r="L89" s="35">
        <v>1250</v>
      </c>
      <c r="M89" s="93">
        <f t="shared" si="51"/>
        <v>7500</v>
      </c>
      <c r="N89" s="35">
        <f t="shared" si="52"/>
        <v>0</v>
      </c>
      <c r="O89" s="70">
        <f t="shared" si="53"/>
        <v>100</v>
      </c>
      <c r="P89" s="71">
        <f t="shared" si="42"/>
        <v>0</v>
      </c>
      <c r="Q89" s="35">
        <f t="shared" si="43"/>
        <v>0</v>
      </c>
      <c r="R89" s="72">
        <v>1103659</v>
      </c>
      <c r="S89" s="72">
        <f t="shared" si="44"/>
        <v>7500</v>
      </c>
      <c r="T89" s="62"/>
    </row>
    <row r="90" spans="1:20" s="73" customFormat="1">
      <c r="A90" s="8"/>
      <c r="B90" s="8"/>
      <c r="C90" s="8"/>
      <c r="D90" s="45"/>
      <c r="E90" s="45"/>
      <c r="F90" s="49" t="s">
        <v>48</v>
      </c>
      <c r="G90" s="83">
        <v>15000</v>
      </c>
      <c r="H90" s="83">
        <f>5000+5000</f>
        <v>10000</v>
      </c>
      <c r="I90" s="83">
        <f t="shared" si="54"/>
        <v>10000</v>
      </c>
      <c r="J90" s="75">
        <f t="shared" si="50"/>
        <v>10000</v>
      </c>
      <c r="K90" s="35">
        <f>'1.06.'!M90</f>
        <v>10000</v>
      </c>
      <c r="L90" s="35"/>
      <c r="M90" s="93">
        <f t="shared" si="51"/>
        <v>10000</v>
      </c>
      <c r="N90" s="35">
        <f t="shared" si="52"/>
        <v>0</v>
      </c>
      <c r="O90" s="70">
        <f t="shared" si="53"/>
        <v>100</v>
      </c>
      <c r="P90" s="71">
        <f t="shared" si="42"/>
        <v>0</v>
      </c>
      <c r="Q90" s="35">
        <f t="shared" si="43"/>
        <v>0</v>
      </c>
      <c r="R90" s="72">
        <v>1103660</v>
      </c>
      <c r="S90" s="72">
        <f t="shared" si="44"/>
        <v>5000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12</v>
      </c>
      <c r="G91" s="83">
        <v>15000</v>
      </c>
      <c r="H91" s="83">
        <f>1000+1000+1000+1000+1000</f>
        <v>5000</v>
      </c>
      <c r="I91" s="83">
        <f t="shared" si="54"/>
        <v>5000</v>
      </c>
      <c r="J91" s="75">
        <f t="shared" si="50"/>
        <v>5000</v>
      </c>
      <c r="K91" s="35">
        <f>'1.06.'!M91</f>
        <v>4000</v>
      </c>
      <c r="L91" s="35">
        <v>1000</v>
      </c>
      <c r="M91" s="93">
        <f t="shared" si="51"/>
        <v>5000</v>
      </c>
      <c r="N91" s="35">
        <f t="shared" si="52"/>
        <v>0</v>
      </c>
      <c r="O91" s="70">
        <f t="shared" si="53"/>
        <v>100</v>
      </c>
      <c r="P91" s="71">
        <f t="shared" si="42"/>
        <v>0</v>
      </c>
      <c r="Q91" s="35">
        <f t="shared" si="43"/>
        <v>0</v>
      </c>
      <c r="R91" s="72">
        <v>1103661</v>
      </c>
      <c r="S91" s="72">
        <f t="shared" si="44"/>
        <v>10000</v>
      </c>
      <c r="T91" s="62"/>
    </row>
    <row r="92" spans="1:20" s="73" customFormat="1">
      <c r="A92" s="8"/>
      <c r="B92" s="8"/>
      <c r="C92" s="8"/>
      <c r="D92" s="45"/>
      <c r="E92" s="45"/>
      <c r="F92" s="49" t="s">
        <v>11</v>
      </c>
      <c r="G92" s="83">
        <v>15000</v>
      </c>
      <c r="H92" s="83">
        <f>1440+3462+6137+3961</f>
        <v>15000</v>
      </c>
      <c r="I92" s="83">
        <f t="shared" si="54"/>
        <v>15000</v>
      </c>
      <c r="J92" s="75">
        <f t="shared" si="50"/>
        <v>15000</v>
      </c>
      <c r="K92" s="35">
        <f>'1.06.'!M92</f>
        <v>15000</v>
      </c>
      <c r="L92" s="35"/>
      <c r="M92" s="93">
        <f t="shared" si="51"/>
        <v>15000</v>
      </c>
      <c r="N92" s="35">
        <f t="shared" si="52"/>
        <v>0</v>
      </c>
      <c r="O92" s="70">
        <f t="shared" si="53"/>
        <v>100</v>
      </c>
      <c r="P92" s="71">
        <f t="shared" si="42"/>
        <v>0</v>
      </c>
      <c r="Q92" s="35">
        <f t="shared" si="43"/>
        <v>0</v>
      </c>
      <c r="R92" s="72">
        <v>1103662</v>
      </c>
      <c r="S92" s="72">
        <f t="shared" si="44"/>
        <v>0</v>
      </c>
      <c r="T92" s="62"/>
    </row>
    <row r="93" spans="1:20" s="73" customFormat="1">
      <c r="A93" s="8"/>
      <c r="B93" s="8"/>
      <c r="C93" s="8"/>
      <c r="D93" s="45"/>
      <c r="E93" s="45"/>
      <c r="F93" s="51" t="s">
        <v>65</v>
      </c>
      <c r="G93" s="82">
        <f>SUM(G94:G101)</f>
        <v>130000</v>
      </c>
      <c r="H93" s="82">
        <f t="shared" ref="H93:O93" si="55">SUM(H94:H101)</f>
        <v>45248</v>
      </c>
      <c r="I93" s="82">
        <f t="shared" si="55"/>
        <v>45248</v>
      </c>
      <c r="J93" s="108">
        <f t="shared" si="55"/>
        <v>45248</v>
      </c>
      <c r="K93" s="108">
        <f t="shared" si="55"/>
        <v>34222</v>
      </c>
      <c r="L93" s="108">
        <f t="shared" si="55"/>
        <v>11026</v>
      </c>
      <c r="M93" s="123">
        <f t="shared" si="55"/>
        <v>45248</v>
      </c>
      <c r="N93" s="123">
        <f t="shared" si="55"/>
        <v>0</v>
      </c>
      <c r="O93" s="82" t="e">
        <f t="shared" si="55"/>
        <v>#DIV/0!</v>
      </c>
      <c r="P93" s="71">
        <f t="shared" si="42"/>
        <v>0</v>
      </c>
      <c r="Q93" s="35">
        <f t="shared" si="43"/>
        <v>0</v>
      </c>
      <c r="R93" s="72">
        <v>1103654</v>
      </c>
      <c r="S93" s="72">
        <f t="shared" si="44"/>
        <v>84752</v>
      </c>
      <c r="T93" s="62"/>
    </row>
    <row r="94" spans="1:20" s="73" customFormat="1">
      <c r="A94" s="8"/>
      <c r="B94" s="8"/>
      <c r="C94" s="8"/>
      <c r="D94" s="45"/>
      <c r="E94" s="45"/>
      <c r="F94" s="47" t="s">
        <v>46</v>
      </c>
      <c r="G94" s="48">
        <v>86229</v>
      </c>
      <c r="H94" s="83">
        <f>26324+11981</f>
        <v>38305</v>
      </c>
      <c r="I94" s="83">
        <f>H94</f>
        <v>38305</v>
      </c>
      <c r="J94" s="75">
        <f t="shared" ref="J94:J101" si="56">M94</f>
        <v>38305</v>
      </c>
      <c r="K94" s="35">
        <f>'1.06.'!M94</f>
        <v>26324</v>
      </c>
      <c r="L94" s="35">
        <v>11981</v>
      </c>
      <c r="M94" s="93">
        <f t="shared" ref="M94:M101" si="57">K94+L94</f>
        <v>38305</v>
      </c>
      <c r="N94" s="35">
        <f t="shared" ref="N94:N101" si="58">I94-M94</f>
        <v>0</v>
      </c>
      <c r="O94" s="70">
        <f t="shared" ref="O94:O101" si="59">M94/I94*100</f>
        <v>100</v>
      </c>
      <c r="P94" s="71">
        <f t="shared" si="42"/>
        <v>0</v>
      </c>
      <c r="Q94" s="35">
        <f t="shared" si="43"/>
        <v>0</v>
      </c>
      <c r="R94" s="72">
        <v>1103655</v>
      </c>
      <c r="S94" s="72">
        <f t="shared" si="44"/>
        <v>47924</v>
      </c>
      <c r="T94" s="62"/>
    </row>
    <row r="95" spans="1:20" s="73" customFormat="1">
      <c r="A95" s="8"/>
      <c r="B95" s="8"/>
      <c r="C95" s="8"/>
      <c r="D95" s="45"/>
      <c r="E95" s="45"/>
      <c r="F95" s="47" t="s">
        <v>8</v>
      </c>
      <c r="G95" s="48">
        <v>4898</v>
      </c>
      <c r="H95" s="83">
        <f>616+4282</f>
        <v>4898</v>
      </c>
      <c r="I95" s="83">
        <f t="shared" ref="I95:I101" si="60">H95</f>
        <v>4898</v>
      </c>
      <c r="J95" s="75">
        <f t="shared" si="56"/>
        <v>4898</v>
      </c>
      <c r="K95" s="35">
        <f>'1.06.'!M95</f>
        <v>4898</v>
      </c>
      <c r="L95" s="35"/>
      <c r="M95" s="93">
        <f t="shared" si="57"/>
        <v>4898</v>
      </c>
      <c r="N95" s="35">
        <f t="shared" si="58"/>
        <v>0</v>
      </c>
      <c r="O95" s="70">
        <f t="shared" si="59"/>
        <v>100</v>
      </c>
      <c r="P95" s="71">
        <f t="shared" si="42"/>
        <v>0</v>
      </c>
      <c r="Q95" s="35">
        <f t="shared" si="43"/>
        <v>0</v>
      </c>
      <c r="R95" s="72">
        <v>1103656</v>
      </c>
      <c r="S95" s="72">
        <f t="shared" si="44"/>
        <v>0</v>
      </c>
      <c r="T95" s="62"/>
    </row>
    <row r="96" spans="1:20" s="73" customFormat="1">
      <c r="A96" s="8"/>
      <c r="B96" s="8"/>
      <c r="C96" s="8"/>
      <c r="D96" s="45"/>
      <c r="E96" s="45"/>
      <c r="F96" s="49" t="s">
        <v>9</v>
      </c>
      <c r="G96" s="48">
        <v>3290</v>
      </c>
      <c r="H96" s="83"/>
      <c r="I96" s="83">
        <f t="shared" si="60"/>
        <v>0</v>
      </c>
      <c r="J96" s="75">
        <f t="shared" si="56"/>
        <v>0</v>
      </c>
      <c r="K96" s="35">
        <f>'1.06.'!M96</f>
        <v>0</v>
      </c>
      <c r="L96" s="35"/>
      <c r="M96" s="93">
        <f t="shared" si="57"/>
        <v>0</v>
      </c>
      <c r="N96" s="35">
        <f t="shared" si="58"/>
        <v>0</v>
      </c>
      <c r="O96" s="70" t="e">
        <f t="shared" si="59"/>
        <v>#DIV/0!</v>
      </c>
      <c r="P96" s="71">
        <f t="shared" si="42"/>
        <v>0</v>
      </c>
      <c r="Q96" s="35">
        <f t="shared" si="43"/>
        <v>0</v>
      </c>
      <c r="R96" s="72">
        <v>1103657</v>
      </c>
      <c r="S96" s="72">
        <f t="shared" si="44"/>
        <v>3290</v>
      </c>
      <c r="T96" s="62"/>
    </row>
    <row r="97" spans="1:20" s="73" customFormat="1">
      <c r="A97" s="8"/>
      <c r="B97" s="8"/>
      <c r="C97" s="8"/>
      <c r="D97" s="45"/>
      <c r="E97" s="45"/>
      <c r="F97" s="49" t="s">
        <v>10</v>
      </c>
      <c r="G97" s="48">
        <v>3918</v>
      </c>
      <c r="H97" s="83"/>
      <c r="I97" s="83">
        <f t="shared" si="60"/>
        <v>0</v>
      </c>
      <c r="J97" s="75">
        <f t="shared" si="56"/>
        <v>0</v>
      </c>
      <c r="K97" s="35">
        <f>'1.06.'!M97</f>
        <v>0</v>
      </c>
      <c r="L97" s="35"/>
      <c r="M97" s="93">
        <f t="shared" si="57"/>
        <v>0</v>
      </c>
      <c r="N97" s="35">
        <f t="shared" si="58"/>
        <v>0</v>
      </c>
      <c r="O97" s="70" t="e">
        <f t="shared" si="59"/>
        <v>#DIV/0!</v>
      </c>
      <c r="P97" s="71">
        <f t="shared" si="42"/>
        <v>0</v>
      </c>
      <c r="Q97" s="35">
        <f t="shared" si="43"/>
        <v>0</v>
      </c>
      <c r="R97" s="72">
        <v>1103658</v>
      </c>
      <c r="S97" s="72">
        <f t="shared" si="44"/>
        <v>3918</v>
      </c>
      <c r="T97" s="62"/>
    </row>
    <row r="98" spans="1:20" s="73" customFormat="1">
      <c r="A98" s="8"/>
      <c r="B98" s="8"/>
      <c r="C98" s="8"/>
      <c r="D98" s="45"/>
      <c r="E98" s="45"/>
      <c r="F98" s="49" t="s">
        <v>47</v>
      </c>
      <c r="G98" s="48">
        <v>4017</v>
      </c>
      <c r="H98" s="83">
        <f>2000-1455</f>
        <v>545</v>
      </c>
      <c r="I98" s="83">
        <f>H98</f>
        <v>545</v>
      </c>
      <c r="J98" s="75">
        <f t="shared" si="56"/>
        <v>545</v>
      </c>
      <c r="K98" s="35">
        <f>'1.06.'!M98</f>
        <v>2000</v>
      </c>
      <c r="L98" s="35">
        <v>-1455</v>
      </c>
      <c r="M98" s="93">
        <f t="shared" si="57"/>
        <v>545</v>
      </c>
      <c r="N98" s="35">
        <f t="shared" si="58"/>
        <v>0</v>
      </c>
      <c r="O98" s="70">
        <f t="shared" si="59"/>
        <v>100</v>
      </c>
      <c r="P98" s="71">
        <f t="shared" si="42"/>
        <v>0</v>
      </c>
      <c r="Q98" s="35">
        <f t="shared" si="43"/>
        <v>0</v>
      </c>
      <c r="R98" s="72">
        <v>1103659</v>
      </c>
      <c r="S98" s="72">
        <f t="shared" si="44"/>
        <v>3472</v>
      </c>
      <c r="T98" s="62"/>
    </row>
    <row r="99" spans="1:20" s="73" customFormat="1">
      <c r="A99" s="8"/>
      <c r="B99" s="8"/>
      <c r="C99" s="8"/>
      <c r="D99" s="45"/>
      <c r="E99" s="45"/>
      <c r="F99" s="49" t="s">
        <v>48</v>
      </c>
      <c r="G99" s="48">
        <v>12606</v>
      </c>
      <c r="H99" s="83"/>
      <c r="I99" s="83">
        <f t="shared" si="60"/>
        <v>0</v>
      </c>
      <c r="J99" s="75">
        <f t="shared" si="56"/>
        <v>0</v>
      </c>
      <c r="K99" s="35">
        <f>'1.06.'!M99</f>
        <v>0</v>
      </c>
      <c r="L99" s="35"/>
      <c r="M99" s="93">
        <f t="shared" si="57"/>
        <v>0</v>
      </c>
      <c r="N99" s="35">
        <f t="shared" si="58"/>
        <v>0</v>
      </c>
      <c r="O99" s="70" t="e">
        <f t="shared" si="59"/>
        <v>#DIV/0!</v>
      </c>
      <c r="P99" s="71">
        <f t="shared" si="42"/>
        <v>0</v>
      </c>
      <c r="Q99" s="35">
        <f t="shared" si="43"/>
        <v>0</v>
      </c>
      <c r="R99" s="72">
        <v>1103660</v>
      </c>
      <c r="S99" s="72">
        <f t="shared" si="44"/>
        <v>12606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12</v>
      </c>
      <c r="G100" s="48">
        <v>9417</v>
      </c>
      <c r="H100" s="83">
        <f>1000+500</f>
        <v>1500</v>
      </c>
      <c r="I100" s="83">
        <f t="shared" si="60"/>
        <v>1500</v>
      </c>
      <c r="J100" s="75">
        <f t="shared" si="56"/>
        <v>1500</v>
      </c>
      <c r="K100" s="35">
        <f>'1.06.'!M100</f>
        <v>1000</v>
      </c>
      <c r="L100" s="35">
        <v>500</v>
      </c>
      <c r="M100" s="93">
        <f t="shared" si="57"/>
        <v>1500</v>
      </c>
      <c r="N100" s="35">
        <f t="shared" si="58"/>
        <v>0</v>
      </c>
      <c r="O100" s="70">
        <f t="shared" si="59"/>
        <v>100</v>
      </c>
      <c r="P100" s="71">
        <f t="shared" si="42"/>
        <v>0</v>
      </c>
      <c r="Q100" s="35">
        <f t="shared" si="43"/>
        <v>0</v>
      </c>
      <c r="R100" s="72">
        <v>1103661</v>
      </c>
      <c r="S100" s="72">
        <f t="shared" si="44"/>
        <v>7917</v>
      </c>
      <c r="T100" s="62"/>
    </row>
    <row r="101" spans="1:20" s="73" customFormat="1">
      <c r="A101" s="8"/>
      <c r="B101" s="8"/>
      <c r="C101" s="8"/>
      <c r="D101" s="45"/>
      <c r="E101" s="45"/>
      <c r="F101" s="49" t="s">
        <v>11</v>
      </c>
      <c r="G101" s="48">
        <v>5625</v>
      </c>
      <c r="H101" s="83"/>
      <c r="I101" s="83">
        <f t="shared" si="60"/>
        <v>0</v>
      </c>
      <c r="J101" s="75">
        <f t="shared" si="56"/>
        <v>0</v>
      </c>
      <c r="K101" s="35">
        <f>'1.06.'!M101</f>
        <v>0</v>
      </c>
      <c r="L101" s="35"/>
      <c r="M101" s="93">
        <f t="shared" si="57"/>
        <v>0</v>
      </c>
      <c r="N101" s="35">
        <f t="shared" si="58"/>
        <v>0</v>
      </c>
      <c r="O101" s="70" t="e">
        <f t="shared" si="59"/>
        <v>#DIV/0!</v>
      </c>
      <c r="P101" s="71">
        <f t="shared" si="42"/>
        <v>0</v>
      </c>
      <c r="Q101" s="35">
        <f t="shared" si="43"/>
        <v>0</v>
      </c>
      <c r="R101" s="72">
        <v>1103662</v>
      </c>
      <c r="S101" s="72">
        <f t="shared" si="44"/>
        <v>5625</v>
      </c>
      <c r="T101" s="62"/>
    </row>
    <row r="102" spans="1:20" s="73" customFormat="1" ht="25.5">
      <c r="A102" s="9"/>
      <c r="B102" s="9"/>
      <c r="C102" s="8" t="s">
        <v>13</v>
      </c>
      <c r="D102" s="69"/>
      <c r="E102" s="69"/>
      <c r="F102" s="120" t="s">
        <v>113</v>
      </c>
      <c r="G102" s="23">
        <f>G103</f>
        <v>200616</v>
      </c>
      <c r="H102" s="23">
        <f t="shared" ref="H102:M102" si="61">H103</f>
        <v>107835</v>
      </c>
      <c r="I102" s="23">
        <f t="shared" si="61"/>
        <v>107835</v>
      </c>
      <c r="J102" s="109">
        <f t="shared" si="61"/>
        <v>107835</v>
      </c>
      <c r="K102" s="35">
        <f>'1.02.'!M92</f>
        <v>0</v>
      </c>
      <c r="L102" s="85">
        <f t="shared" si="61"/>
        <v>107835</v>
      </c>
      <c r="M102" s="102">
        <f t="shared" si="61"/>
        <v>107835</v>
      </c>
      <c r="N102" s="102">
        <f>N103</f>
        <v>0</v>
      </c>
      <c r="O102" s="68">
        <f t="shared" si="53"/>
        <v>100</v>
      </c>
      <c r="P102" s="71">
        <f t="shared" si="42"/>
        <v>0</v>
      </c>
      <c r="Q102" s="35">
        <f t="shared" si="43"/>
        <v>0</v>
      </c>
      <c r="R102" s="72">
        <v>1103663</v>
      </c>
      <c r="S102" s="72">
        <f t="shared" si="44"/>
        <v>92781</v>
      </c>
      <c r="T102" s="62">
        <f t="shared" ref="T102:T149" si="62">G102-J102</f>
        <v>92781</v>
      </c>
    </row>
    <row r="103" spans="1:20">
      <c r="A103" s="9"/>
      <c r="B103" s="9"/>
      <c r="C103" s="9"/>
      <c r="D103" s="21" t="s">
        <v>7</v>
      </c>
      <c r="E103" s="69"/>
      <c r="F103" s="122" t="s">
        <v>85</v>
      </c>
      <c r="G103" s="56">
        <f>G104+G105</f>
        <v>200616</v>
      </c>
      <c r="H103" s="56">
        <f t="shared" ref="H103:N103" si="63">H104+H105</f>
        <v>107835</v>
      </c>
      <c r="I103" s="56">
        <f t="shared" si="63"/>
        <v>107835</v>
      </c>
      <c r="J103" s="56">
        <f t="shared" si="63"/>
        <v>107835</v>
      </c>
      <c r="K103" s="35">
        <f>'1.02.'!M93</f>
        <v>0</v>
      </c>
      <c r="L103" s="56">
        <f t="shared" si="63"/>
        <v>107835</v>
      </c>
      <c r="M103" s="27">
        <f t="shared" si="63"/>
        <v>107835</v>
      </c>
      <c r="N103" s="27">
        <f t="shared" si="63"/>
        <v>0</v>
      </c>
      <c r="O103" s="70">
        <f t="shared" si="53"/>
        <v>100</v>
      </c>
      <c r="P103" s="71">
        <f t="shared" si="42"/>
        <v>0</v>
      </c>
      <c r="Q103" s="35">
        <f t="shared" si="43"/>
        <v>0</v>
      </c>
      <c r="R103" s="72">
        <v>1103664</v>
      </c>
      <c r="S103" s="72">
        <f t="shared" si="44"/>
        <v>92781</v>
      </c>
      <c r="T103" s="62">
        <f t="shared" si="62"/>
        <v>92781</v>
      </c>
    </row>
    <row r="104" spans="1:20">
      <c r="A104" s="9"/>
      <c r="B104" s="9"/>
      <c r="C104" s="9"/>
      <c r="D104" s="69"/>
      <c r="E104" s="69">
        <v>159</v>
      </c>
      <c r="F104" s="122" t="s">
        <v>84</v>
      </c>
      <c r="G104" s="26">
        <v>200616</v>
      </c>
      <c r="H104" s="37">
        <v>107835</v>
      </c>
      <c r="I104" s="37">
        <v>107835</v>
      </c>
      <c r="J104" s="110">
        <v>107835</v>
      </c>
      <c r="K104" s="35">
        <f>'1.06.'!M104</f>
        <v>0</v>
      </c>
      <c r="L104" s="80">
        <v>107835</v>
      </c>
      <c r="M104" s="93">
        <f>K104+L104</f>
        <v>107835</v>
      </c>
      <c r="N104" s="93">
        <f>I104-M104</f>
        <v>0</v>
      </c>
      <c r="O104" s="70">
        <f t="shared" si="53"/>
        <v>100</v>
      </c>
      <c r="P104" s="71">
        <f t="shared" si="42"/>
        <v>0</v>
      </c>
      <c r="Q104" s="35">
        <f t="shared" si="43"/>
        <v>0</v>
      </c>
      <c r="R104" s="72">
        <v>1103665</v>
      </c>
      <c r="S104" s="72">
        <f t="shared" si="44"/>
        <v>92781</v>
      </c>
      <c r="T104" s="62">
        <f t="shared" si="62"/>
        <v>92781</v>
      </c>
    </row>
    <row r="105" spans="1:20">
      <c r="A105" s="9"/>
      <c r="B105" s="9"/>
      <c r="C105" s="9"/>
      <c r="D105" s="69"/>
      <c r="E105" s="69">
        <v>322</v>
      </c>
      <c r="F105" s="78" t="s">
        <v>154</v>
      </c>
      <c r="G105" s="26"/>
      <c r="H105" s="37"/>
      <c r="I105" s="37"/>
      <c r="J105" s="110">
        <f>M105</f>
        <v>0</v>
      </c>
      <c r="K105" s="35">
        <f>'1.06.'!M105</f>
        <v>0</v>
      </c>
      <c r="L105" s="110"/>
      <c r="M105" s="93">
        <f>K105+L105</f>
        <v>0</v>
      </c>
      <c r="N105" s="93">
        <f>I105-M105</f>
        <v>0</v>
      </c>
      <c r="O105" s="70" t="e">
        <f t="shared" si="53"/>
        <v>#DIV/0!</v>
      </c>
      <c r="P105" s="71">
        <f t="shared" si="42"/>
        <v>0</v>
      </c>
      <c r="Q105" s="35">
        <f t="shared" si="43"/>
        <v>0</v>
      </c>
      <c r="R105" s="72">
        <v>1103666</v>
      </c>
      <c r="S105" s="72">
        <f t="shared" si="44"/>
        <v>0</v>
      </c>
    </row>
    <row r="106" spans="1:20" ht="38.25">
      <c r="A106" s="9"/>
      <c r="B106" s="9"/>
      <c r="C106" s="17" t="s">
        <v>41</v>
      </c>
      <c r="D106" s="69"/>
      <c r="E106" s="69"/>
      <c r="F106" s="79" t="s">
        <v>128</v>
      </c>
      <c r="G106" s="74">
        <f>G107</f>
        <v>20000</v>
      </c>
      <c r="H106" s="74">
        <f t="shared" ref="H106:O107" si="64">H107</f>
        <v>13390</v>
      </c>
      <c r="I106" s="74">
        <f t="shared" si="64"/>
        <v>5496.7</v>
      </c>
      <c r="J106" s="96">
        <f t="shared" si="64"/>
        <v>13390</v>
      </c>
      <c r="K106" s="35">
        <f>'1.02.'!M96</f>
        <v>0</v>
      </c>
      <c r="L106" s="89">
        <f t="shared" si="64"/>
        <v>1046.98938</v>
      </c>
      <c r="M106" s="89">
        <f t="shared" si="64"/>
        <v>5496.6893799999998</v>
      </c>
      <c r="N106" s="89">
        <f t="shared" si="64"/>
        <v>1.0620000000017171E-2</v>
      </c>
      <c r="O106" s="74">
        <f t="shared" si="64"/>
        <v>99.999806793166812</v>
      </c>
      <c r="P106" s="71">
        <f t="shared" si="42"/>
        <v>7893.3106200000002</v>
      </c>
      <c r="Q106" s="35">
        <f t="shared" si="43"/>
        <v>0</v>
      </c>
      <c r="R106" s="72">
        <v>1103667</v>
      </c>
      <c r="S106" s="72">
        <f t="shared" si="44"/>
        <v>14503.31062</v>
      </c>
      <c r="T106" s="62">
        <f>G106-J106</f>
        <v>6610</v>
      </c>
    </row>
    <row r="107" spans="1:20" s="73" customFormat="1">
      <c r="A107" s="8"/>
      <c r="B107" s="8"/>
      <c r="C107" s="8"/>
      <c r="D107" s="17" t="s">
        <v>35</v>
      </c>
      <c r="E107" s="21"/>
      <c r="F107" s="79"/>
      <c r="G107" s="88">
        <f>G108</f>
        <v>20000</v>
      </c>
      <c r="H107" s="74">
        <f t="shared" si="64"/>
        <v>13390</v>
      </c>
      <c r="I107" s="74">
        <f t="shared" si="64"/>
        <v>5496.7</v>
      </c>
      <c r="J107" s="96">
        <f t="shared" si="64"/>
        <v>13390</v>
      </c>
      <c r="K107" s="35">
        <f>'1.02.'!M97</f>
        <v>0</v>
      </c>
      <c r="L107" s="89">
        <f t="shared" si="64"/>
        <v>1046.98938</v>
      </c>
      <c r="M107" s="89">
        <f t="shared" si="64"/>
        <v>5496.6893799999998</v>
      </c>
      <c r="N107" s="89">
        <f t="shared" si="64"/>
        <v>1.0620000000017171E-2</v>
      </c>
      <c r="O107" s="68">
        <f>M107/I107*100</f>
        <v>99.999806793166812</v>
      </c>
      <c r="P107" s="71">
        <f t="shared" si="42"/>
        <v>7893.3106200000002</v>
      </c>
      <c r="Q107" s="35">
        <f t="shared" si="43"/>
        <v>0</v>
      </c>
      <c r="R107" s="72">
        <v>1103668</v>
      </c>
      <c r="S107" s="72">
        <f t="shared" si="44"/>
        <v>14503.31062</v>
      </c>
      <c r="T107" s="62">
        <f>G107-J107</f>
        <v>6610</v>
      </c>
    </row>
    <row r="108" spans="1:20">
      <c r="A108" s="9"/>
      <c r="B108" s="9"/>
      <c r="C108" s="9"/>
      <c r="D108" s="69"/>
      <c r="E108" s="69">
        <v>159</v>
      </c>
      <c r="F108" s="78" t="s">
        <v>155</v>
      </c>
      <c r="G108" s="41">
        <v>20000</v>
      </c>
      <c r="H108" s="72">
        <v>13390</v>
      </c>
      <c r="I108" s="72">
        <v>5496.7</v>
      </c>
      <c r="J108" s="94">
        <v>13390</v>
      </c>
      <c r="K108" s="35">
        <f>'1.06.'!M108</f>
        <v>4449.7</v>
      </c>
      <c r="L108" s="90">
        <v>1046.98938</v>
      </c>
      <c r="M108" s="90">
        <f>K108+L108</f>
        <v>5496.6893799999998</v>
      </c>
      <c r="N108" s="90">
        <f>I108-M108</f>
        <v>1.0620000000017171E-2</v>
      </c>
      <c r="O108" s="70">
        <f>M108/I108*100</f>
        <v>99.999806793166812</v>
      </c>
      <c r="P108" s="71">
        <f t="shared" si="42"/>
        <v>7893.3106200000002</v>
      </c>
      <c r="Q108" s="35">
        <f t="shared" si="43"/>
        <v>0</v>
      </c>
      <c r="R108" s="72">
        <v>1103669</v>
      </c>
      <c r="S108" s="72">
        <f t="shared" si="44"/>
        <v>14503.31062</v>
      </c>
      <c r="T108" s="62">
        <f>G108-J108</f>
        <v>6610</v>
      </c>
    </row>
    <row r="109" spans="1:20" s="73" customFormat="1">
      <c r="A109" s="8"/>
      <c r="B109" s="8" t="s">
        <v>24</v>
      </c>
      <c r="C109" s="8"/>
      <c r="D109" s="21"/>
      <c r="E109" s="21"/>
      <c r="F109" s="139" t="s">
        <v>114</v>
      </c>
      <c r="G109" s="59">
        <f t="shared" ref="G109:N110" si="65">G110</f>
        <v>588262</v>
      </c>
      <c r="H109" s="59">
        <f t="shared" si="65"/>
        <v>321415</v>
      </c>
      <c r="I109" s="59">
        <f t="shared" si="65"/>
        <v>284929</v>
      </c>
      <c r="J109" s="29">
        <f t="shared" si="65"/>
        <v>302481.30775000004</v>
      </c>
      <c r="K109" s="29">
        <f>'1.02.'!M99</f>
        <v>46251.970999999998</v>
      </c>
      <c r="L109" s="29">
        <f t="shared" si="65"/>
        <v>48722.406340000009</v>
      </c>
      <c r="M109" s="29">
        <f t="shared" si="65"/>
        <v>279101.72964000003</v>
      </c>
      <c r="N109" s="29">
        <f t="shared" si="65"/>
        <v>5827.2703600000077</v>
      </c>
      <c r="O109" s="68">
        <f t="shared" si="53"/>
        <v>97.95483423589738</v>
      </c>
      <c r="P109" s="71">
        <f t="shared" si="42"/>
        <v>23379.578110000002</v>
      </c>
      <c r="Q109" s="35">
        <f t="shared" si="43"/>
        <v>18933.692249999964</v>
      </c>
      <c r="R109" s="72">
        <v>1103670</v>
      </c>
      <c r="S109" s="72">
        <f t="shared" si="44"/>
        <v>309160.27035999997</v>
      </c>
      <c r="T109" s="62">
        <f t="shared" si="62"/>
        <v>285780.69224999996</v>
      </c>
    </row>
    <row r="110" spans="1:20" ht="76.5">
      <c r="A110" s="8"/>
      <c r="B110" s="8"/>
      <c r="C110" s="17" t="s">
        <v>7</v>
      </c>
      <c r="D110" s="17"/>
      <c r="E110" s="21"/>
      <c r="F110" s="139" t="s">
        <v>115</v>
      </c>
      <c r="G110" s="59">
        <f>G111</f>
        <v>588262</v>
      </c>
      <c r="H110" s="59">
        <f t="shared" si="65"/>
        <v>321415</v>
      </c>
      <c r="I110" s="59">
        <f t="shared" si="65"/>
        <v>284929</v>
      </c>
      <c r="J110" s="29">
        <f t="shared" si="65"/>
        <v>302481.30775000004</v>
      </c>
      <c r="K110" s="29">
        <f>'1.02.'!M100</f>
        <v>46251.970999999998</v>
      </c>
      <c r="L110" s="29">
        <f t="shared" si="65"/>
        <v>48722.406340000009</v>
      </c>
      <c r="M110" s="29">
        <f t="shared" si="65"/>
        <v>279101.72964000003</v>
      </c>
      <c r="N110" s="29">
        <f t="shared" si="65"/>
        <v>5827.2703600000077</v>
      </c>
      <c r="O110" s="68">
        <f t="shared" si="53"/>
        <v>97.95483423589738</v>
      </c>
      <c r="P110" s="29">
        <f t="shared" si="42"/>
        <v>23379.578110000002</v>
      </c>
      <c r="Q110" s="29">
        <f t="shared" si="43"/>
        <v>18933.692249999964</v>
      </c>
      <c r="R110" s="74">
        <v>1103671</v>
      </c>
      <c r="S110" s="74">
        <f t="shared" si="44"/>
        <v>309160.27035999997</v>
      </c>
      <c r="T110" s="62">
        <f t="shared" si="62"/>
        <v>285780.69224999996</v>
      </c>
    </row>
    <row r="111" spans="1:20">
      <c r="A111" s="8"/>
      <c r="B111" s="8"/>
      <c r="C111" s="17"/>
      <c r="D111" s="17" t="s">
        <v>7</v>
      </c>
      <c r="E111" s="10"/>
      <c r="F111" s="140" t="s">
        <v>85</v>
      </c>
      <c r="G111" s="33">
        <f>SUM(G112:G129)</f>
        <v>588262</v>
      </c>
      <c r="H111" s="33">
        <f t="shared" ref="H111:N111" si="66">SUM(H112:H129)</f>
        <v>321415</v>
      </c>
      <c r="I111" s="33">
        <f t="shared" si="66"/>
        <v>284929</v>
      </c>
      <c r="J111" s="29">
        <f t="shared" si="66"/>
        <v>302481.30775000004</v>
      </c>
      <c r="K111" s="29">
        <f t="shared" si="66"/>
        <v>230379.32329999999</v>
      </c>
      <c r="L111" s="29">
        <f t="shared" si="66"/>
        <v>48722.406340000009</v>
      </c>
      <c r="M111" s="29">
        <f t="shared" si="66"/>
        <v>279101.72964000003</v>
      </c>
      <c r="N111" s="29">
        <f t="shared" si="66"/>
        <v>5827.2703600000077</v>
      </c>
      <c r="O111" s="68">
        <f t="shared" si="53"/>
        <v>97.95483423589738</v>
      </c>
      <c r="P111" s="71">
        <f t="shared" si="42"/>
        <v>23379.578110000002</v>
      </c>
      <c r="Q111" s="35">
        <f t="shared" si="43"/>
        <v>18933.692249999964</v>
      </c>
      <c r="R111" s="72">
        <v>1103672</v>
      </c>
      <c r="S111" s="72">
        <f t="shared" si="44"/>
        <v>309160.27035999997</v>
      </c>
      <c r="T111" s="62">
        <f t="shared" si="62"/>
        <v>285780.69224999996</v>
      </c>
    </row>
    <row r="112" spans="1:20">
      <c r="A112" s="8"/>
      <c r="B112" s="8"/>
      <c r="C112" s="8"/>
      <c r="D112" s="21"/>
      <c r="E112" s="69">
        <v>111</v>
      </c>
      <c r="F112" s="136" t="s">
        <v>86</v>
      </c>
      <c r="G112" s="26">
        <v>408393</v>
      </c>
      <c r="H112" s="37">
        <v>187000</v>
      </c>
      <c r="I112" s="37">
        <v>187000</v>
      </c>
      <c r="J112" s="75">
        <f>M112</f>
        <v>186990.87</v>
      </c>
      <c r="K112" s="35">
        <f>'1.06.'!M112</f>
        <v>149192.85999999999</v>
      </c>
      <c r="L112" s="35">
        <v>37798.01</v>
      </c>
      <c r="M112" s="93">
        <f t="shared" ref="M112:M194" si="67">K112+L112</f>
        <v>186990.87</v>
      </c>
      <c r="N112" s="93">
        <f t="shared" ref="N112:N194" si="68">I112-M112</f>
        <v>9.1300000000046566</v>
      </c>
      <c r="O112" s="70">
        <f t="shared" si="53"/>
        <v>99.995117647058819</v>
      </c>
      <c r="P112" s="71">
        <f t="shared" si="42"/>
        <v>0</v>
      </c>
      <c r="Q112" s="35">
        <f t="shared" si="43"/>
        <v>9.1300000000046566</v>
      </c>
      <c r="R112" s="72">
        <v>1103673</v>
      </c>
      <c r="S112" s="72">
        <f t="shared" si="44"/>
        <v>221402.13</v>
      </c>
      <c r="T112" s="62">
        <f t="shared" si="62"/>
        <v>221402.13</v>
      </c>
    </row>
    <row r="113" spans="1:20">
      <c r="A113" s="8"/>
      <c r="B113" s="8"/>
      <c r="C113" s="8"/>
      <c r="D113" s="21"/>
      <c r="E113" s="69">
        <v>112</v>
      </c>
      <c r="F113" s="136" t="s">
        <v>87</v>
      </c>
      <c r="G113" s="26"/>
      <c r="H113" s="37"/>
      <c r="I113" s="37"/>
      <c r="J113" s="75">
        <f t="shared" ref="J113:J119" si="69">M113</f>
        <v>0</v>
      </c>
      <c r="K113" s="35">
        <f>'1.06.'!M113</f>
        <v>0</v>
      </c>
      <c r="L113" s="35"/>
      <c r="M113" s="93">
        <f t="shared" si="67"/>
        <v>0</v>
      </c>
      <c r="N113" s="93">
        <f t="shared" si="68"/>
        <v>0</v>
      </c>
      <c r="O113" s="70" t="e">
        <f t="shared" si="53"/>
        <v>#DIV/0!</v>
      </c>
      <c r="P113" s="71">
        <f t="shared" si="42"/>
        <v>0</v>
      </c>
      <c r="Q113" s="35">
        <f t="shared" si="43"/>
        <v>0</v>
      </c>
      <c r="R113" s="72">
        <v>1103674</v>
      </c>
      <c r="S113" s="72">
        <f t="shared" si="44"/>
        <v>0</v>
      </c>
    </row>
    <row r="114" spans="1:20">
      <c r="A114" s="8"/>
      <c r="B114" s="8"/>
      <c r="C114" s="8"/>
      <c r="D114" s="21"/>
      <c r="E114" s="76">
        <v>113</v>
      </c>
      <c r="F114" s="136" t="s">
        <v>88</v>
      </c>
      <c r="G114" s="26">
        <v>14739</v>
      </c>
      <c r="H114" s="37">
        <v>5761</v>
      </c>
      <c r="I114" s="37">
        <v>5761</v>
      </c>
      <c r="J114" s="75">
        <f t="shared" si="69"/>
        <v>5369.0820000000003</v>
      </c>
      <c r="K114" s="35">
        <f>'1.06.'!M114</f>
        <v>2758.998</v>
      </c>
      <c r="L114" s="35">
        <v>2610.0839999999998</v>
      </c>
      <c r="M114" s="93">
        <f t="shared" si="67"/>
        <v>5369.0820000000003</v>
      </c>
      <c r="N114" s="93">
        <f t="shared" si="68"/>
        <v>391.91799999999967</v>
      </c>
      <c r="O114" s="70">
        <f t="shared" si="53"/>
        <v>93.197049123416079</v>
      </c>
      <c r="P114" s="71">
        <f t="shared" si="42"/>
        <v>0</v>
      </c>
      <c r="Q114" s="35">
        <f t="shared" si="43"/>
        <v>391.91799999999967</v>
      </c>
      <c r="R114" s="72">
        <v>1103675</v>
      </c>
      <c r="S114" s="72">
        <f t="shared" si="44"/>
        <v>9369.9179999999997</v>
      </c>
      <c r="T114" s="62">
        <f t="shared" si="62"/>
        <v>9369.9179999999997</v>
      </c>
    </row>
    <row r="115" spans="1:20">
      <c r="A115" s="8"/>
      <c r="B115" s="8"/>
      <c r="C115" s="8"/>
      <c r="D115" s="21"/>
      <c r="E115" s="69">
        <v>116</v>
      </c>
      <c r="F115" s="136" t="s">
        <v>89</v>
      </c>
      <c r="G115" s="26">
        <v>9468</v>
      </c>
      <c r="H115" s="37">
        <v>1905</v>
      </c>
      <c r="I115" s="37">
        <v>1905</v>
      </c>
      <c r="J115" s="75">
        <f t="shared" si="69"/>
        <v>1905</v>
      </c>
      <c r="K115" s="35">
        <f>'1.06.'!M115</f>
        <v>1553.79</v>
      </c>
      <c r="L115" s="35">
        <v>351.21</v>
      </c>
      <c r="M115" s="93">
        <f>K115+L115</f>
        <v>1905</v>
      </c>
      <c r="N115" s="93">
        <f>I115-M115</f>
        <v>0</v>
      </c>
      <c r="O115" s="70">
        <f>M115/I115*100</f>
        <v>100</v>
      </c>
      <c r="P115" s="71">
        <f t="shared" si="42"/>
        <v>0</v>
      </c>
      <c r="Q115" s="35">
        <f t="shared" si="43"/>
        <v>0</v>
      </c>
      <c r="R115" s="72">
        <v>1103676</v>
      </c>
      <c r="S115" s="72">
        <f t="shared" si="44"/>
        <v>7563</v>
      </c>
    </row>
    <row r="116" spans="1:20">
      <c r="A116" s="8"/>
      <c r="B116" s="8"/>
      <c r="C116" s="8"/>
      <c r="D116" s="21"/>
      <c r="E116" s="69">
        <v>121</v>
      </c>
      <c r="F116" s="136" t="s">
        <v>90</v>
      </c>
      <c r="G116" s="26">
        <v>19586</v>
      </c>
      <c r="H116" s="37">
        <v>8400</v>
      </c>
      <c r="I116" s="37">
        <v>8400</v>
      </c>
      <c r="J116" s="75">
        <f t="shared" si="69"/>
        <v>8400</v>
      </c>
      <c r="K116" s="35">
        <f>'1.06.'!M116</f>
        <v>7000</v>
      </c>
      <c r="L116" s="35">
        <v>1400</v>
      </c>
      <c r="M116" s="93">
        <f t="shared" si="67"/>
        <v>8400</v>
      </c>
      <c r="N116" s="93">
        <f t="shared" si="68"/>
        <v>0</v>
      </c>
      <c r="O116" s="70">
        <f t="shared" si="53"/>
        <v>100</v>
      </c>
      <c r="P116" s="71">
        <f t="shared" si="42"/>
        <v>0</v>
      </c>
      <c r="Q116" s="35">
        <f t="shared" si="43"/>
        <v>0</v>
      </c>
      <c r="R116" s="72">
        <v>1103677</v>
      </c>
      <c r="S116" s="72">
        <f t="shared" si="44"/>
        <v>11186</v>
      </c>
      <c r="T116" s="62">
        <f t="shared" si="62"/>
        <v>11186</v>
      </c>
    </row>
    <row r="117" spans="1:20">
      <c r="A117" s="8"/>
      <c r="B117" s="8"/>
      <c r="C117" s="8"/>
      <c r="D117" s="21"/>
      <c r="E117" s="69">
        <v>122</v>
      </c>
      <c r="F117" s="136" t="s">
        <v>91</v>
      </c>
      <c r="G117" s="26">
        <v>17015</v>
      </c>
      <c r="H117" s="37">
        <v>7320</v>
      </c>
      <c r="I117" s="37">
        <v>7320</v>
      </c>
      <c r="J117" s="75">
        <f t="shared" si="69"/>
        <v>7319.9999999999991</v>
      </c>
      <c r="K117" s="35">
        <f>'1.06.'!M117</f>
        <v>6099.601999999999</v>
      </c>
      <c r="L117" s="35">
        <v>1220.3979999999999</v>
      </c>
      <c r="M117" s="93">
        <f>K117+L117</f>
        <v>7319.9999999999991</v>
      </c>
      <c r="N117" s="93">
        <f t="shared" si="68"/>
        <v>0</v>
      </c>
      <c r="O117" s="70">
        <f t="shared" si="53"/>
        <v>99.999999999999986</v>
      </c>
      <c r="P117" s="71">
        <f t="shared" si="42"/>
        <v>0</v>
      </c>
      <c r="Q117" s="35">
        <f t="shared" si="43"/>
        <v>0</v>
      </c>
      <c r="R117" s="72">
        <v>1103678</v>
      </c>
      <c r="S117" s="72">
        <f t="shared" si="44"/>
        <v>9695</v>
      </c>
      <c r="T117" s="62">
        <f t="shared" si="62"/>
        <v>9695</v>
      </c>
    </row>
    <row r="118" spans="1:20">
      <c r="A118" s="8"/>
      <c r="B118" s="8"/>
      <c r="C118" s="8"/>
      <c r="D118" s="21"/>
      <c r="E118" s="69">
        <v>123</v>
      </c>
      <c r="F118" s="136" t="s">
        <v>92</v>
      </c>
      <c r="G118" s="26">
        <v>195</v>
      </c>
      <c r="H118" s="37">
        <v>96</v>
      </c>
      <c r="I118" s="37">
        <v>96</v>
      </c>
      <c r="J118" s="75">
        <f t="shared" si="69"/>
        <v>95.31</v>
      </c>
      <c r="K118" s="35">
        <f>'1.06.'!M118</f>
        <v>95.31</v>
      </c>
      <c r="L118" s="35"/>
      <c r="M118" s="93">
        <f t="shared" si="67"/>
        <v>95.31</v>
      </c>
      <c r="N118" s="93">
        <f t="shared" si="68"/>
        <v>0.68999999999999773</v>
      </c>
      <c r="O118" s="70">
        <f t="shared" si="53"/>
        <v>99.28125</v>
      </c>
      <c r="P118" s="71">
        <f t="shared" si="42"/>
        <v>0</v>
      </c>
      <c r="Q118" s="35">
        <f t="shared" si="43"/>
        <v>0.68999999999999773</v>
      </c>
      <c r="R118" s="72">
        <v>1103679</v>
      </c>
      <c r="S118" s="72">
        <f t="shared" si="44"/>
        <v>99.69</v>
      </c>
      <c r="T118" s="62">
        <f t="shared" si="62"/>
        <v>99.69</v>
      </c>
    </row>
    <row r="119" spans="1:20">
      <c r="A119" s="9"/>
      <c r="B119" s="8"/>
      <c r="C119" s="8"/>
      <c r="D119" s="21"/>
      <c r="E119" s="69">
        <v>124</v>
      </c>
      <c r="F119" s="136" t="s">
        <v>93</v>
      </c>
      <c r="G119" s="26">
        <v>11343</v>
      </c>
      <c r="H119" s="37">
        <v>4800</v>
      </c>
      <c r="I119" s="37">
        <v>4800</v>
      </c>
      <c r="J119" s="75">
        <f t="shared" si="69"/>
        <v>4500.741</v>
      </c>
      <c r="K119" s="35">
        <f>'1.06.'!M119</f>
        <v>3724.3940000000002</v>
      </c>
      <c r="L119" s="35">
        <v>776.34699999999998</v>
      </c>
      <c r="M119" s="93">
        <f t="shared" si="67"/>
        <v>4500.741</v>
      </c>
      <c r="N119" s="93">
        <f t="shared" si="68"/>
        <v>299.25900000000001</v>
      </c>
      <c r="O119" s="70">
        <f t="shared" si="53"/>
        <v>93.765437500000004</v>
      </c>
      <c r="P119" s="71">
        <f t="shared" si="42"/>
        <v>0</v>
      </c>
      <c r="Q119" s="35">
        <f t="shared" si="43"/>
        <v>299.25900000000001</v>
      </c>
      <c r="R119" s="72">
        <v>1103680</v>
      </c>
      <c r="S119" s="72">
        <f t="shared" si="44"/>
        <v>6842.259</v>
      </c>
      <c r="T119" s="62">
        <f t="shared" si="62"/>
        <v>6842.259</v>
      </c>
    </row>
    <row r="120" spans="1:20" s="73" customFormat="1">
      <c r="A120" s="9"/>
      <c r="B120" s="8"/>
      <c r="C120" s="8"/>
      <c r="D120" s="21"/>
      <c r="E120" s="69">
        <v>141</v>
      </c>
      <c r="F120" s="136" t="s">
        <v>116</v>
      </c>
      <c r="G120" s="26">
        <f>44952-157</f>
        <v>44795</v>
      </c>
      <c r="H120" s="37">
        <v>44795</v>
      </c>
      <c r="I120" s="37">
        <v>16602</v>
      </c>
      <c r="J120" s="75">
        <v>35986.603349999998</v>
      </c>
      <c r="K120" s="35">
        <f>'1.06.'!M120</f>
        <v>14598.937119999999</v>
      </c>
      <c r="L120" s="35">
        <v>1868.85517</v>
      </c>
      <c r="M120" s="93">
        <f t="shared" si="67"/>
        <v>16467.792289999998</v>
      </c>
      <c r="N120" s="93">
        <f t="shared" si="68"/>
        <v>134.20771000000241</v>
      </c>
      <c r="O120" s="70">
        <f t="shared" si="53"/>
        <v>99.191617214793382</v>
      </c>
      <c r="P120" s="71">
        <f t="shared" si="42"/>
        <v>19518.81106</v>
      </c>
      <c r="Q120" s="35">
        <f t="shared" si="43"/>
        <v>8808.3966500000024</v>
      </c>
      <c r="R120" s="72">
        <v>1103681</v>
      </c>
      <c r="S120" s="72">
        <f t="shared" si="44"/>
        <v>28327.207710000002</v>
      </c>
      <c r="T120" s="62">
        <f t="shared" si="62"/>
        <v>8808.3966500000024</v>
      </c>
    </row>
    <row r="121" spans="1:20">
      <c r="A121" s="9"/>
      <c r="B121" s="8"/>
      <c r="C121" s="8"/>
      <c r="D121" s="21"/>
      <c r="E121" s="69">
        <v>144</v>
      </c>
      <c r="F121" s="136" t="s">
        <v>97</v>
      </c>
      <c r="G121" s="26">
        <v>836</v>
      </c>
      <c r="H121" s="37">
        <v>836</v>
      </c>
      <c r="I121" s="37">
        <v>836</v>
      </c>
      <c r="J121" s="75">
        <v>835.96190999999999</v>
      </c>
      <c r="K121" s="35">
        <f>'1.06.'!M121</f>
        <v>835.96190999999999</v>
      </c>
      <c r="L121" s="35"/>
      <c r="M121" s="93">
        <f t="shared" si="67"/>
        <v>835.96190999999999</v>
      </c>
      <c r="N121" s="93">
        <f t="shared" si="68"/>
        <v>3.8090000000011059E-2</v>
      </c>
      <c r="O121" s="70">
        <f t="shared" si="53"/>
        <v>99.995443779904306</v>
      </c>
      <c r="P121" s="71">
        <f t="shared" si="42"/>
        <v>0</v>
      </c>
      <c r="Q121" s="35">
        <f t="shared" si="43"/>
        <v>3.8090000000011059E-2</v>
      </c>
      <c r="R121" s="72">
        <v>1103682</v>
      </c>
      <c r="S121" s="72">
        <f t="shared" si="44"/>
        <v>3.8090000000011059E-2</v>
      </c>
      <c r="T121" s="62">
        <f t="shared" si="62"/>
        <v>3.8090000000011059E-2</v>
      </c>
    </row>
    <row r="122" spans="1:20">
      <c r="A122" s="9"/>
      <c r="B122" s="8"/>
      <c r="C122" s="8"/>
      <c r="D122" s="21"/>
      <c r="E122" s="69">
        <v>149</v>
      </c>
      <c r="F122" s="136" t="s">
        <v>98</v>
      </c>
      <c r="G122" s="26">
        <f>5652+157+428</f>
        <v>6237</v>
      </c>
      <c r="H122" s="37">
        <v>6237</v>
      </c>
      <c r="I122" s="37">
        <v>6237</v>
      </c>
      <c r="J122" s="75">
        <v>5929.8664900000003</v>
      </c>
      <c r="K122" s="35">
        <f>'1.06.'!M122</f>
        <v>5402.2660500000002</v>
      </c>
      <c r="L122" s="35">
        <v>527.60044000000005</v>
      </c>
      <c r="M122" s="93">
        <f t="shared" si="67"/>
        <v>5929.8664900000003</v>
      </c>
      <c r="N122" s="93">
        <f t="shared" si="68"/>
        <v>307.13350999999966</v>
      </c>
      <c r="O122" s="70">
        <f t="shared" si="53"/>
        <v>95.075621131954463</v>
      </c>
      <c r="P122" s="71">
        <f t="shared" si="42"/>
        <v>0</v>
      </c>
      <c r="Q122" s="35">
        <f t="shared" si="43"/>
        <v>307.13350999999966</v>
      </c>
      <c r="R122" s="72">
        <v>1103683</v>
      </c>
      <c r="S122" s="72">
        <f t="shared" si="44"/>
        <v>307.13350999999966</v>
      </c>
      <c r="T122" s="62">
        <f t="shared" si="62"/>
        <v>307.13350999999966</v>
      </c>
    </row>
    <row r="123" spans="1:20">
      <c r="A123" s="9"/>
      <c r="B123" s="8"/>
      <c r="C123" s="8"/>
      <c r="D123" s="21"/>
      <c r="E123" s="69">
        <v>151</v>
      </c>
      <c r="F123" s="136" t="s">
        <v>99</v>
      </c>
      <c r="G123" s="26">
        <v>43006</v>
      </c>
      <c r="H123" s="37">
        <v>43006</v>
      </c>
      <c r="I123" s="37">
        <v>43006</v>
      </c>
      <c r="J123" s="75">
        <f t="shared" ref="J123:J129" si="70">M123</f>
        <v>38537.76902</v>
      </c>
      <c r="K123" s="35">
        <f>'1.06.'!M123</f>
        <v>36975.00404</v>
      </c>
      <c r="L123" s="35">
        <v>1562.7649799999999</v>
      </c>
      <c r="M123" s="93">
        <f t="shared" si="67"/>
        <v>38537.76902</v>
      </c>
      <c r="N123" s="93">
        <f t="shared" si="68"/>
        <v>4468.2309800000003</v>
      </c>
      <c r="O123" s="70">
        <f t="shared" si="53"/>
        <v>89.610214900246476</v>
      </c>
      <c r="P123" s="71">
        <f t="shared" si="42"/>
        <v>0</v>
      </c>
      <c r="Q123" s="35">
        <f t="shared" si="43"/>
        <v>4468.2309800000003</v>
      </c>
      <c r="R123" s="72">
        <v>1103684</v>
      </c>
      <c r="S123" s="72">
        <f t="shared" si="44"/>
        <v>4468.2309800000003</v>
      </c>
      <c r="T123" s="62">
        <f t="shared" si="62"/>
        <v>4468.2309800000003</v>
      </c>
    </row>
    <row r="124" spans="1:20">
      <c r="A124" s="9"/>
      <c r="B124" s="9"/>
      <c r="C124" s="9"/>
      <c r="D124" s="69"/>
      <c r="E124" s="69">
        <v>152</v>
      </c>
      <c r="F124" s="136" t="s">
        <v>100</v>
      </c>
      <c r="G124" s="26">
        <v>2907</v>
      </c>
      <c r="H124" s="37">
        <v>2907</v>
      </c>
      <c r="I124" s="37">
        <v>728</v>
      </c>
      <c r="J124" s="75">
        <v>1667.3999799999999</v>
      </c>
      <c r="K124" s="35">
        <f>'1.06.'!M124</f>
        <v>473.71818000000002</v>
      </c>
      <c r="L124" s="35">
        <v>115.21875</v>
      </c>
      <c r="M124" s="93">
        <f t="shared" si="67"/>
        <v>588.93693000000007</v>
      </c>
      <c r="N124" s="93">
        <f t="shared" si="68"/>
        <v>139.06306999999993</v>
      </c>
      <c r="O124" s="70">
        <f t="shared" si="53"/>
        <v>80.897929945054955</v>
      </c>
      <c r="P124" s="71">
        <f t="shared" si="42"/>
        <v>1078.4630499999998</v>
      </c>
      <c r="Q124" s="35">
        <f t="shared" si="43"/>
        <v>1239.6000200000001</v>
      </c>
      <c r="R124" s="72">
        <v>1103685</v>
      </c>
      <c r="S124" s="72">
        <f t="shared" si="44"/>
        <v>2318.0630700000002</v>
      </c>
      <c r="T124" s="62">
        <f t="shared" si="62"/>
        <v>1239.6000200000001</v>
      </c>
    </row>
    <row r="125" spans="1:20" ht="25.5">
      <c r="A125" s="9"/>
      <c r="B125" s="9"/>
      <c r="C125" s="9"/>
      <c r="D125" s="69"/>
      <c r="E125" s="69">
        <v>158</v>
      </c>
      <c r="F125" s="136" t="s">
        <v>101</v>
      </c>
      <c r="G125" s="26">
        <f>730+1670-428</f>
        <v>1972</v>
      </c>
      <c r="H125" s="37">
        <v>1972</v>
      </c>
      <c r="I125" s="37">
        <v>472</v>
      </c>
      <c r="J125" s="75">
        <f>2400-1503</f>
        <v>897</v>
      </c>
      <c r="K125" s="35">
        <f>'1.06.'!M125</f>
        <v>411</v>
      </c>
      <c r="L125" s="35">
        <v>61</v>
      </c>
      <c r="M125" s="93">
        <f t="shared" si="67"/>
        <v>472</v>
      </c>
      <c r="N125" s="93">
        <f t="shared" si="68"/>
        <v>0</v>
      </c>
      <c r="O125" s="70">
        <f t="shared" si="53"/>
        <v>100</v>
      </c>
      <c r="P125" s="71">
        <f t="shared" si="42"/>
        <v>425</v>
      </c>
      <c r="Q125" s="35">
        <f t="shared" si="43"/>
        <v>1075</v>
      </c>
      <c r="R125" s="72">
        <v>1103686</v>
      </c>
      <c r="S125" s="72">
        <f t="shared" si="44"/>
        <v>1500</v>
      </c>
      <c r="T125" s="62">
        <f t="shared" si="62"/>
        <v>1075</v>
      </c>
    </row>
    <row r="126" spans="1:20">
      <c r="A126" s="9"/>
      <c r="B126" s="8"/>
      <c r="C126" s="8"/>
      <c r="D126" s="69"/>
      <c r="E126" s="69">
        <v>159</v>
      </c>
      <c r="F126" s="136" t="s">
        <v>84</v>
      </c>
      <c r="G126" s="26">
        <f>7990-1670</f>
        <v>6320</v>
      </c>
      <c r="H126" s="37">
        <v>6280</v>
      </c>
      <c r="I126" s="37">
        <v>1666</v>
      </c>
      <c r="J126" s="75">
        <v>4023.3040000000001</v>
      </c>
      <c r="K126" s="35">
        <f>'1.06.'!M126</f>
        <v>1235.0819999999999</v>
      </c>
      <c r="L126" s="35">
        <v>430.91800000000001</v>
      </c>
      <c r="M126" s="93">
        <f t="shared" si="67"/>
        <v>1666</v>
      </c>
      <c r="N126" s="93">
        <f t="shared" si="68"/>
        <v>0</v>
      </c>
      <c r="O126" s="70">
        <f t="shared" si="53"/>
        <v>100</v>
      </c>
      <c r="P126" s="71">
        <f t="shared" si="42"/>
        <v>2357.3040000000001</v>
      </c>
      <c r="Q126" s="35">
        <f t="shared" si="43"/>
        <v>2256.6959999999999</v>
      </c>
      <c r="R126" s="72">
        <v>1103687</v>
      </c>
      <c r="S126" s="72">
        <f t="shared" si="44"/>
        <v>4654</v>
      </c>
      <c r="T126" s="62">
        <f t="shared" si="62"/>
        <v>2296.6959999999999</v>
      </c>
    </row>
    <row r="127" spans="1:20">
      <c r="A127" s="9"/>
      <c r="B127" s="8"/>
      <c r="C127" s="8"/>
      <c r="D127" s="69"/>
      <c r="E127" s="76">
        <v>161</v>
      </c>
      <c r="F127" s="136" t="s">
        <v>102</v>
      </c>
      <c r="G127" s="26">
        <v>1250</v>
      </c>
      <c r="H127" s="37"/>
      <c r="I127" s="37"/>
      <c r="J127" s="75">
        <f t="shared" si="70"/>
        <v>0</v>
      </c>
      <c r="K127" s="35">
        <f>'1.06.'!M127</f>
        <v>0</v>
      </c>
      <c r="L127" s="35"/>
      <c r="M127" s="93">
        <f t="shared" si="67"/>
        <v>0</v>
      </c>
      <c r="N127" s="93">
        <f t="shared" si="68"/>
        <v>0</v>
      </c>
      <c r="O127" s="70" t="e">
        <f t="shared" si="53"/>
        <v>#DIV/0!</v>
      </c>
      <c r="P127" s="71">
        <f t="shared" si="42"/>
        <v>0</v>
      </c>
      <c r="Q127" s="35">
        <f t="shared" si="43"/>
        <v>0</v>
      </c>
      <c r="R127" s="72">
        <v>1103688</v>
      </c>
      <c r="S127" s="72">
        <f t="shared" si="44"/>
        <v>1250</v>
      </c>
      <c r="T127" s="62">
        <f t="shared" si="62"/>
        <v>1250</v>
      </c>
    </row>
    <row r="128" spans="1:20">
      <c r="A128" s="9"/>
      <c r="B128" s="8"/>
      <c r="C128" s="8"/>
      <c r="D128" s="69"/>
      <c r="E128" s="76">
        <v>168</v>
      </c>
      <c r="F128" s="136" t="s">
        <v>167</v>
      </c>
      <c r="G128" s="26">
        <v>50</v>
      </c>
      <c r="H128" s="37">
        <v>50</v>
      </c>
      <c r="I128" s="37">
        <v>50</v>
      </c>
      <c r="J128" s="75">
        <v>22.4</v>
      </c>
      <c r="K128" s="35">
        <f>'1.06.'!M128</f>
        <v>22.4</v>
      </c>
      <c r="L128" s="35"/>
      <c r="M128" s="93">
        <f t="shared" si="67"/>
        <v>22.4</v>
      </c>
      <c r="N128" s="93">
        <f t="shared" si="68"/>
        <v>27.6</v>
      </c>
      <c r="O128" s="70">
        <f t="shared" si="53"/>
        <v>44.8</v>
      </c>
      <c r="P128" s="71">
        <f t="shared" si="42"/>
        <v>0</v>
      </c>
      <c r="Q128" s="35">
        <f t="shared" si="43"/>
        <v>27.6</v>
      </c>
      <c r="R128" s="72">
        <v>1103689</v>
      </c>
      <c r="S128" s="72">
        <f t="shared" si="44"/>
        <v>27.6</v>
      </c>
    </row>
    <row r="129" spans="1:20">
      <c r="A129" s="9"/>
      <c r="B129" s="8"/>
      <c r="C129" s="8"/>
      <c r="D129" s="69"/>
      <c r="E129" s="69">
        <v>169</v>
      </c>
      <c r="F129" s="136" t="s">
        <v>103</v>
      </c>
      <c r="G129" s="26">
        <f>200-50</f>
        <v>150</v>
      </c>
      <c r="H129" s="37">
        <v>50</v>
      </c>
      <c r="I129" s="37">
        <v>50</v>
      </c>
      <c r="J129" s="75">
        <f t="shared" si="70"/>
        <v>0</v>
      </c>
      <c r="K129" s="35">
        <f>'1.06.'!M129</f>
        <v>0</v>
      </c>
      <c r="L129" s="35"/>
      <c r="M129" s="93">
        <f t="shared" si="67"/>
        <v>0</v>
      </c>
      <c r="N129" s="93">
        <f t="shared" si="68"/>
        <v>50</v>
      </c>
      <c r="O129" s="70">
        <f t="shared" si="53"/>
        <v>0</v>
      </c>
      <c r="P129" s="71">
        <f t="shared" si="42"/>
        <v>0</v>
      </c>
      <c r="Q129" s="35">
        <f t="shared" si="43"/>
        <v>50</v>
      </c>
      <c r="R129" s="72">
        <v>1103689</v>
      </c>
      <c r="S129" s="72">
        <f t="shared" si="44"/>
        <v>150</v>
      </c>
      <c r="T129" s="62">
        <f t="shared" si="62"/>
        <v>150</v>
      </c>
    </row>
    <row r="130" spans="1:20" s="73" customFormat="1">
      <c r="A130" s="8"/>
      <c r="B130" s="17">
        <v>1263</v>
      </c>
      <c r="C130" s="12"/>
      <c r="D130" s="11"/>
      <c r="E130" s="18"/>
      <c r="F130" s="139" t="s">
        <v>117</v>
      </c>
      <c r="G130" s="42">
        <f t="shared" ref="G130:N130" si="71">G131+G150</f>
        <v>557301</v>
      </c>
      <c r="H130" s="42">
        <f t="shared" si="71"/>
        <v>301745</v>
      </c>
      <c r="I130" s="42">
        <f t="shared" si="71"/>
        <v>210258.9</v>
      </c>
      <c r="J130" s="29">
        <f t="shared" si="71"/>
        <v>301397.91407</v>
      </c>
      <c r="K130" s="29">
        <f>'1.02.'!M119</f>
        <v>10083.11916</v>
      </c>
      <c r="L130" s="29">
        <f t="shared" si="71"/>
        <v>41899.609780000006</v>
      </c>
      <c r="M130" s="29">
        <f t="shared" si="71"/>
        <v>210243.8028</v>
      </c>
      <c r="N130" s="29">
        <f t="shared" si="71"/>
        <v>15.09720000000064</v>
      </c>
      <c r="O130" s="68">
        <f t="shared" si="53"/>
        <v>99.992819709415386</v>
      </c>
      <c r="P130" s="35">
        <f t="shared" si="42"/>
        <v>91154.111269999994</v>
      </c>
      <c r="Q130" s="35">
        <f t="shared" si="43"/>
        <v>347.0859300000011</v>
      </c>
      <c r="R130" s="72">
        <v>1103690</v>
      </c>
      <c r="S130" s="72">
        <f>G130-M130</f>
        <v>347057.1972</v>
      </c>
      <c r="T130" s="62">
        <f>G130-J130</f>
        <v>255903.08593</v>
      </c>
    </row>
    <row r="131" spans="1:20" s="73" customFormat="1" ht="63.75">
      <c r="A131" s="8"/>
      <c r="B131" s="12"/>
      <c r="C131" s="12" t="s">
        <v>25</v>
      </c>
      <c r="D131" s="11"/>
      <c r="E131" s="18"/>
      <c r="F131" s="139" t="s">
        <v>118</v>
      </c>
      <c r="G131" s="42">
        <f>G132</f>
        <v>557301</v>
      </c>
      <c r="H131" s="42">
        <f t="shared" ref="H131:N131" si="72">H132</f>
        <v>301745</v>
      </c>
      <c r="I131" s="42">
        <f t="shared" si="72"/>
        <v>210258.9</v>
      </c>
      <c r="J131" s="42">
        <f t="shared" si="72"/>
        <v>301397.91407</v>
      </c>
      <c r="K131" s="29">
        <f>'1.02.'!M120</f>
        <v>10083.11916</v>
      </c>
      <c r="L131" s="29">
        <f t="shared" si="72"/>
        <v>41899.609780000006</v>
      </c>
      <c r="M131" s="29">
        <f t="shared" si="72"/>
        <v>210243.8028</v>
      </c>
      <c r="N131" s="29">
        <f t="shared" si="72"/>
        <v>15.09720000000064</v>
      </c>
      <c r="O131" s="68">
        <f t="shared" si="53"/>
        <v>99.992819709415386</v>
      </c>
      <c r="P131" s="71">
        <f t="shared" si="42"/>
        <v>91154.111269999994</v>
      </c>
      <c r="Q131" s="35">
        <f t="shared" si="43"/>
        <v>347.0859300000011</v>
      </c>
      <c r="R131" s="72">
        <v>1103691</v>
      </c>
      <c r="S131" s="72">
        <f t="shared" si="44"/>
        <v>347057.1972</v>
      </c>
      <c r="T131" s="62">
        <f t="shared" si="62"/>
        <v>255903.08593</v>
      </c>
    </row>
    <row r="132" spans="1:20" s="73" customFormat="1">
      <c r="A132" s="8"/>
      <c r="B132" s="12"/>
      <c r="C132" s="12"/>
      <c r="D132" s="11" t="s">
        <v>7</v>
      </c>
      <c r="E132" s="19"/>
      <c r="F132" s="140" t="s">
        <v>85</v>
      </c>
      <c r="G132" s="30">
        <f>SUM(G133:G149)</f>
        <v>557301</v>
      </c>
      <c r="H132" s="30">
        <f t="shared" ref="H132:N132" si="73">SUM(H133:H149)</f>
        <v>301745</v>
      </c>
      <c r="I132" s="30">
        <f t="shared" si="73"/>
        <v>210258.9</v>
      </c>
      <c r="J132" s="32">
        <f>SUM(J133:J149)</f>
        <v>301397.91407</v>
      </c>
      <c r="K132" s="29">
        <f>'1.02.'!M121</f>
        <v>10083.11916</v>
      </c>
      <c r="L132" s="32">
        <f>SUM(L133:L149)</f>
        <v>41899.609780000006</v>
      </c>
      <c r="M132" s="32">
        <f t="shared" si="73"/>
        <v>210243.8028</v>
      </c>
      <c r="N132" s="32">
        <f t="shared" si="73"/>
        <v>15.09720000000064</v>
      </c>
      <c r="O132" s="68">
        <f t="shared" si="53"/>
        <v>99.992819709415386</v>
      </c>
      <c r="P132" s="71">
        <f t="shared" si="42"/>
        <v>91154.111269999994</v>
      </c>
      <c r="Q132" s="35">
        <f t="shared" si="43"/>
        <v>347.0859300000011</v>
      </c>
      <c r="R132" s="72">
        <v>1103692</v>
      </c>
      <c r="S132" s="72">
        <f t="shared" si="44"/>
        <v>347057.1972</v>
      </c>
      <c r="T132" s="62">
        <f t="shared" si="62"/>
        <v>255903.08593</v>
      </c>
    </row>
    <row r="133" spans="1:20">
      <c r="A133" s="8"/>
      <c r="B133" s="13"/>
      <c r="C133" s="13"/>
      <c r="D133" s="14"/>
      <c r="E133" s="20">
        <v>111</v>
      </c>
      <c r="F133" s="136" t="s">
        <v>86</v>
      </c>
      <c r="G133" s="34">
        <f>288321-2200</f>
        <v>286121</v>
      </c>
      <c r="H133" s="34">
        <v>102199.3</v>
      </c>
      <c r="I133" s="34">
        <v>102199.3</v>
      </c>
      <c r="J133" s="75">
        <f>M133</f>
        <v>102199.3</v>
      </c>
      <c r="K133" s="35">
        <f>'1.06.'!M133</f>
        <v>79199.3</v>
      </c>
      <c r="L133" s="36">
        <v>23000</v>
      </c>
      <c r="M133" s="93">
        <f t="shared" si="67"/>
        <v>102199.3</v>
      </c>
      <c r="N133" s="93">
        <f>I133-M133</f>
        <v>0</v>
      </c>
      <c r="O133" s="70">
        <f t="shared" si="53"/>
        <v>100</v>
      </c>
      <c r="P133" s="71">
        <f t="shared" si="42"/>
        <v>0</v>
      </c>
      <c r="Q133" s="35">
        <f t="shared" si="43"/>
        <v>0</v>
      </c>
      <c r="R133" s="72">
        <v>1103693</v>
      </c>
      <c r="S133" s="72">
        <f t="shared" si="44"/>
        <v>183921.7</v>
      </c>
      <c r="T133" s="62">
        <f t="shared" si="62"/>
        <v>183921.7</v>
      </c>
    </row>
    <row r="134" spans="1:20">
      <c r="A134" s="8"/>
      <c r="B134" s="13"/>
      <c r="C134" s="13"/>
      <c r="D134" s="14"/>
      <c r="E134" s="20">
        <v>112</v>
      </c>
      <c r="F134" s="136" t="s">
        <v>87</v>
      </c>
      <c r="G134" s="34">
        <v>3669.3</v>
      </c>
      <c r="H134" s="34">
        <v>3669.3</v>
      </c>
      <c r="I134" s="34">
        <v>3669.3</v>
      </c>
      <c r="J134" s="75">
        <f t="shared" ref="J134:J148" si="74">M134</f>
        <v>3669.2959999999998</v>
      </c>
      <c r="K134" s="35">
        <f>'1.06.'!M134</f>
        <v>3669.2959999999998</v>
      </c>
      <c r="L134" s="36"/>
      <c r="M134" s="93">
        <f t="shared" si="67"/>
        <v>3669.2959999999998</v>
      </c>
      <c r="N134" s="93">
        <f>I134-M134</f>
        <v>4.0000000003601599E-3</v>
      </c>
      <c r="O134" s="70">
        <f t="shared" si="53"/>
        <v>99.999890987381775</v>
      </c>
      <c r="P134" s="71">
        <f t="shared" si="42"/>
        <v>0</v>
      </c>
      <c r="Q134" s="35">
        <f t="shared" si="43"/>
        <v>4.0000000003601599E-3</v>
      </c>
      <c r="R134" s="72">
        <v>1103694</v>
      </c>
      <c r="S134" s="72">
        <f t="shared" si="44"/>
        <v>4.0000000003601599E-3</v>
      </c>
    </row>
    <row r="135" spans="1:20">
      <c r="A135" s="8"/>
      <c r="B135" s="15"/>
      <c r="C135" s="15"/>
      <c r="D135" s="16"/>
      <c r="E135" s="20">
        <v>113</v>
      </c>
      <c r="F135" s="136" t="s">
        <v>88</v>
      </c>
      <c r="G135" s="34">
        <v>7446</v>
      </c>
      <c r="H135" s="34">
        <v>2195.9</v>
      </c>
      <c r="I135" s="34">
        <v>2195.9</v>
      </c>
      <c r="J135" s="75">
        <f t="shared" si="74"/>
        <v>2195.884</v>
      </c>
      <c r="K135" s="35">
        <f>'1.06.'!M135</f>
        <v>1516.6470000000002</v>
      </c>
      <c r="L135" s="36">
        <v>679.23699999999997</v>
      </c>
      <c r="M135" s="93">
        <f t="shared" si="67"/>
        <v>2195.884</v>
      </c>
      <c r="N135" s="93">
        <f t="shared" si="68"/>
        <v>1.6000000000076398E-2</v>
      </c>
      <c r="O135" s="70">
        <f t="shared" si="53"/>
        <v>99.999271369370192</v>
      </c>
      <c r="P135" s="71">
        <f t="shared" si="42"/>
        <v>0</v>
      </c>
      <c r="Q135" s="35">
        <f t="shared" si="43"/>
        <v>1.6000000000076398E-2</v>
      </c>
      <c r="R135" s="72">
        <v>1103695</v>
      </c>
      <c r="S135" s="72">
        <f t="shared" si="44"/>
        <v>5250.116</v>
      </c>
      <c r="T135" s="62">
        <f t="shared" si="62"/>
        <v>5250.116</v>
      </c>
    </row>
    <row r="136" spans="1:20">
      <c r="A136" s="8"/>
      <c r="B136" s="15"/>
      <c r="C136" s="15"/>
      <c r="D136" s="16"/>
      <c r="E136" s="69">
        <v>116</v>
      </c>
      <c r="F136" s="136" t="s">
        <v>89</v>
      </c>
      <c r="G136" s="34">
        <f>9009-131.5</f>
        <v>8877.5</v>
      </c>
      <c r="H136" s="34">
        <v>1531.5</v>
      </c>
      <c r="I136" s="34">
        <v>1531.5</v>
      </c>
      <c r="J136" s="75">
        <f t="shared" si="74"/>
        <v>1531.3220000000001</v>
      </c>
      <c r="K136" s="35">
        <f>'1.06.'!M136</f>
        <v>1189.453</v>
      </c>
      <c r="L136" s="36">
        <v>341.86900000000003</v>
      </c>
      <c r="M136" s="93">
        <f>K136+L136</f>
        <v>1531.3220000000001</v>
      </c>
      <c r="N136" s="93">
        <f>I136-M136</f>
        <v>0.17799999999988358</v>
      </c>
      <c r="O136" s="70">
        <f>M136/I136*100</f>
        <v>99.988377407770173</v>
      </c>
      <c r="P136" s="71">
        <f t="shared" si="42"/>
        <v>0</v>
      </c>
      <c r="Q136" s="35">
        <f t="shared" si="43"/>
        <v>0.17799999999988358</v>
      </c>
      <c r="R136" s="72">
        <v>1103696</v>
      </c>
      <c r="S136" s="72">
        <f t="shared" si="44"/>
        <v>7346.1779999999999</v>
      </c>
    </row>
    <row r="137" spans="1:20">
      <c r="A137" s="8"/>
      <c r="B137" s="15"/>
      <c r="C137" s="15"/>
      <c r="D137" s="16"/>
      <c r="E137" s="20">
        <v>121</v>
      </c>
      <c r="F137" s="136" t="s">
        <v>90</v>
      </c>
      <c r="G137" s="34">
        <f>14861-20.4</f>
        <v>14840.6</v>
      </c>
      <c r="H137" s="34">
        <v>5574.9</v>
      </c>
      <c r="I137" s="34">
        <v>5574.9</v>
      </c>
      <c r="J137" s="75">
        <f t="shared" si="74"/>
        <v>5574.9</v>
      </c>
      <c r="K137" s="35">
        <f>'1.06.'!M137</f>
        <v>4212.8949999999995</v>
      </c>
      <c r="L137" s="36">
        <v>1362.0050000000001</v>
      </c>
      <c r="M137" s="93">
        <f t="shared" si="67"/>
        <v>5574.9</v>
      </c>
      <c r="N137" s="93">
        <f t="shared" si="68"/>
        <v>0</v>
      </c>
      <c r="O137" s="70">
        <f t="shared" si="53"/>
        <v>100</v>
      </c>
      <c r="P137" s="71">
        <f t="shared" si="42"/>
        <v>0</v>
      </c>
      <c r="Q137" s="35">
        <f t="shared" si="43"/>
        <v>0</v>
      </c>
      <c r="R137" s="72">
        <v>1103697</v>
      </c>
      <c r="S137" s="72">
        <f t="shared" si="44"/>
        <v>9265.7000000000007</v>
      </c>
      <c r="T137" s="62">
        <f t="shared" si="62"/>
        <v>9265.7000000000007</v>
      </c>
    </row>
    <row r="138" spans="1:20">
      <c r="A138" s="8"/>
      <c r="B138" s="15"/>
      <c r="C138" s="15"/>
      <c r="D138" s="16"/>
      <c r="E138" s="20">
        <v>122</v>
      </c>
      <c r="F138" s="136" t="s">
        <v>91</v>
      </c>
      <c r="G138" s="37">
        <f>12910-1105.1</f>
        <v>11804.9</v>
      </c>
      <c r="H138" s="37">
        <v>3727.9</v>
      </c>
      <c r="I138" s="37">
        <v>3727.9</v>
      </c>
      <c r="J138" s="75">
        <f t="shared" si="74"/>
        <v>3727.884</v>
      </c>
      <c r="K138" s="35">
        <f>'1.06.'!M138</f>
        <v>2863.7049999999999</v>
      </c>
      <c r="L138" s="35">
        <v>864.17899999999997</v>
      </c>
      <c r="M138" s="93">
        <f t="shared" si="67"/>
        <v>3727.884</v>
      </c>
      <c r="N138" s="93">
        <f t="shared" si="68"/>
        <v>1.6000000000076398E-2</v>
      </c>
      <c r="O138" s="70">
        <f t="shared" si="53"/>
        <v>99.999570803937871</v>
      </c>
      <c r="P138" s="71">
        <f t="shared" si="42"/>
        <v>0</v>
      </c>
      <c r="Q138" s="35">
        <f t="shared" si="43"/>
        <v>1.6000000000076398E-2</v>
      </c>
      <c r="R138" s="72">
        <v>1103698</v>
      </c>
      <c r="S138" s="72">
        <f t="shared" si="44"/>
        <v>8077.0159999999996</v>
      </c>
      <c r="T138" s="62">
        <f t="shared" si="62"/>
        <v>8077.0159999999996</v>
      </c>
    </row>
    <row r="139" spans="1:20">
      <c r="A139" s="8"/>
      <c r="B139" s="15"/>
      <c r="C139" s="15"/>
      <c r="D139" s="16"/>
      <c r="E139" s="20">
        <v>123</v>
      </c>
      <c r="F139" s="136" t="s">
        <v>92</v>
      </c>
      <c r="G139" s="34">
        <v>228</v>
      </c>
      <c r="H139" s="34">
        <v>110</v>
      </c>
      <c r="I139" s="34">
        <v>110</v>
      </c>
      <c r="J139" s="75">
        <f t="shared" si="74"/>
        <v>95.396330000000006</v>
      </c>
      <c r="K139" s="35">
        <f>'1.06.'!M139</f>
        <v>95.396330000000006</v>
      </c>
      <c r="L139" s="36"/>
      <c r="M139" s="93">
        <f t="shared" si="67"/>
        <v>95.396330000000006</v>
      </c>
      <c r="N139" s="93">
        <f t="shared" si="68"/>
        <v>14.603669999999994</v>
      </c>
      <c r="O139" s="70">
        <f t="shared" si="53"/>
        <v>86.723936363636369</v>
      </c>
      <c r="P139" s="71">
        <f t="shared" si="42"/>
        <v>0</v>
      </c>
      <c r="Q139" s="35">
        <f t="shared" si="43"/>
        <v>14.603669999999994</v>
      </c>
      <c r="R139" s="72">
        <v>1103699</v>
      </c>
      <c r="S139" s="72">
        <f t="shared" si="44"/>
        <v>132.60366999999999</v>
      </c>
      <c r="T139" s="62">
        <f t="shared" si="62"/>
        <v>132.60366999999999</v>
      </c>
    </row>
    <row r="140" spans="1:20">
      <c r="A140" s="9"/>
      <c r="B140" s="15"/>
      <c r="C140" s="15"/>
      <c r="D140" s="16"/>
      <c r="E140" s="20">
        <v>124</v>
      </c>
      <c r="F140" s="136" t="s">
        <v>93</v>
      </c>
      <c r="G140" s="37">
        <f>8607-212.3</f>
        <v>8394.7000000000007</v>
      </c>
      <c r="H140" s="37">
        <v>2353.5</v>
      </c>
      <c r="I140" s="37">
        <v>2353.5</v>
      </c>
      <c r="J140" s="75">
        <f t="shared" si="74"/>
        <v>2353.4809999999998</v>
      </c>
      <c r="K140" s="35">
        <f>'1.06.'!M140</f>
        <v>1802.482</v>
      </c>
      <c r="L140" s="35">
        <v>550.99900000000002</v>
      </c>
      <c r="M140" s="93">
        <f t="shared" si="67"/>
        <v>2353.4809999999998</v>
      </c>
      <c r="N140" s="93">
        <f t="shared" si="68"/>
        <v>1.9000000000232831E-2</v>
      </c>
      <c r="O140" s="70">
        <f t="shared" si="53"/>
        <v>99.999192691735701</v>
      </c>
      <c r="P140" s="71">
        <f t="shared" si="42"/>
        <v>0</v>
      </c>
      <c r="Q140" s="35">
        <f t="shared" si="43"/>
        <v>1.9000000000232831E-2</v>
      </c>
      <c r="R140" s="72">
        <v>1103700</v>
      </c>
      <c r="S140" s="72">
        <f t="shared" si="44"/>
        <v>6041.219000000001</v>
      </c>
      <c r="T140" s="62">
        <f t="shared" si="62"/>
        <v>6041.219000000001</v>
      </c>
    </row>
    <row r="141" spans="1:20">
      <c r="A141" s="9"/>
      <c r="B141" s="15"/>
      <c r="C141" s="15"/>
      <c r="D141" s="16"/>
      <c r="E141" s="20">
        <v>141</v>
      </c>
      <c r="F141" s="136" t="s">
        <v>116</v>
      </c>
      <c r="G141" s="34">
        <f>138471-1027</f>
        <v>137444</v>
      </c>
      <c r="H141" s="34">
        <v>114871</v>
      </c>
      <c r="I141" s="34">
        <v>26700</v>
      </c>
      <c r="J141" s="75">
        <v>114809.33041</v>
      </c>
      <c r="K141" s="35">
        <f>'1.06.'!M141</f>
        <v>18100</v>
      </c>
      <c r="L141" s="36">
        <v>8600</v>
      </c>
      <c r="M141" s="93">
        <f t="shared" si="67"/>
        <v>26700</v>
      </c>
      <c r="N141" s="93">
        <f t="shared" si="68"/>
        <v>0</v>
      </c>
      <c r="O141" s="70">
        <f t="shared" si="53"/>
        <v>100</v>
      </c>
      <c r="P141" s="71">
        <f t="shared" si="42"/>
        <v>88109.330409999995</v>
      </c>
      <c r="Q141" s="35">
        <f t="shared" si="43"/>
        <v>61.669590000004973</v>
      </c>
      <c r="R141" s="72">
        <v>1103701</v>
      </c>
      <c r="S141" s="72">
        <f t="shared" si="44"/>
        <v>110744</v>
      </c>
      <c r="T141" s="62">
        <f t="shared" si="62"/>
        <v>22634.669590000005</v>
      </c>
    </row>
    <row r="142" spans="1:20">
      <c r="A142" s="9"/>
      <c r="B142" s="15"/>
      <c r="C142" s="15"/>
      <c r="D142" s="16"/>
      <c r="E142" s="20">
        <v>144</v>
      </c>
      <c r="F142" s="136" t="s">
        <v>97</v>
      </c>
      <c r="G142" s="37">
        <v>1470</v>
      </c>
      <c r="H142" s="37">
        <v>1470</v>
      </c>
      <c r="I142" s="37">
        <v>1470</v>
      </c>
      <c r="J142" s="75">
        <v>1470</v>
      </c>
      <c r="K142" s="35">
        <f>'1.06.'!M142</f>
        <v>1470</v>
      </c>
      <c r="L142" s="36"/>
      <c r="M142" s="93">
        <f t="shared" si="67"/>
        <v>1470</v>
      </c>
      <c r="N142" s="93">
        <f t="shared" si="68"/>
        <v>0</v>
      </c>
      <c r="O142" s="70">
        <f t="shared" si="53"/>
        <v>100</v>
      </c>
      <c r="P142" s="71">
        <f t="shared" si="42"/>
        <v>0</v>
      </c>
      <c r="Q142" s="35">
        <f t="shared" si="43"/>
        <v>0</v>
      </c>
      <c r="R142" s="72">
        <v>1103702</v>
      </c>
      <c r="S142" s="72">
        <f t="shared" si="44"/>
        <v>0</v>
      </c>
      <c r="T142" s="62">
        <f t="shared" si="62"/>
        <v>0</v>
      </c>
    </row>
    <row r="143" spans="1:20">
      <c r="A143" s="9"/>
      <c r="B143" s="15"/>
      <c r="C143" s="15"/>
      <c r="D143" s="16"/>
      <c r="E143" s="20">
        <v>149</v>
      </c>
      <c r="F143" s="136" t="s">
        <v>98</v>
      </c>
      <c r="G143" s="34">
        <v>5557</v>
      </c>
      <c r="H143" s="34">
        <v>4068</v>
      </c>
      <c r="I143" s="34">
        <v>4068</v>
      </c>
      <c r="J143" s="75">
        <v>4068</v>
      </c>
      <c r="K143" s="35">
        <f>'1.06.'!M143</f>
        <v>2775.5</v>
      </c>
      <c r="L143" s="35">
        <v>1292.5</v>
      </c>
      <c r="M143" s="93">
        <f t="shared" si="67"/>
        <v>4068</v>
      </c>
      <c r="N143" s="93">
        <f>I143-M143</f>
        <v>0</v>
      </c>
      <c r="O143" s="70">
        <f t="shared" si="53"/>
        <v>100</v>
      </c>
      <c r="P143" s="71">
        <f t="shared" si="42"/>
        <v>0</v>
      </c>
      <c r="Q143" s="35">
        <f t="shared" si="43"/>
        <v>0</v>
      </c>
      <c r="R143" s="72">
        <v>1103703</v>
      </c>
      <c r="S143" s="72">
        <f t="shared" si="44"/>
        <v>1489</v>
      </c>
      <c r="T143" s="62">
        <f t="shared" si="62"/>
        <v>1489</v>
      </c>
    </row>
    <row r="144" spans="1:20">
      <c r="A144" s="9"/>
      <c r="B144" s="15"/>
      <c r="C144" s="15"/>
      <c r="D144" s="16"/>
      <c r="E144" s="20">
        <v>151</v>
      </c>
      <c r="F144" s="136" t="s">
        <v>99</v>
      </c>
      <c r="G144" s="34">
        <v>60855</v>
      </c>
      <c r="H144" s="34">
        <v>52655</v>
      </c>
      <c r="I144" s="34">
        <v>52655</v>
      </c>
      <c r="J144" s="75">
        <f>52655</f>
        <v>52655</v>
      </c>
      <c r="K144" s="35">
        <f>'1.06.'!M144</f>
        <v>48654.170120000002</v>
      </c>
      <c r="L144" s="36">
        <v>4000.8298799999998</v>
      </c>
      <c r="M144" s="93">
        <f t="shared" si="67"/>
        <v>52655</v>
      </c>
      <c r="N144" s="93">
        <f t="shared" si="68"/>
        <v>0</v>
      </c>
      <c r="O144" s="70">
        <f t="shared" si="53"/>
        <v>100</v>
      </c>
      <c r="P144" s="71">
        <f t="shared" si="42"/>
        <v>0</v>
      </c>
      <c r="Q144" s="35">
        <f t="shared" si="43"/>
        <v>0</v>
      </c>
      <c r="R144" s="72">
        <v>1103704</v>
      </c>
      <c r="S144" s="72">
        <f t="shared" si="44"/>
        <v>8200</v>
      </c>
      <c r="T144" s="62">
        <f t="shared" si="62"/>
        <v>8200</v>
      </c>
    </row>
    <row r="145" spans="1:20">
      <c r="A145" s="9"/>
      <c r="B145" s="15"/>
      <c r="C145" s="15"/>
      <c r="D145" s="16"/>
      <c r="E145" s="20">
        <v>152</v>
      </c>
      <c r="F145" s="136" t="s">
        <v>100</v>
      </c>
      <c r="G145" s="34">
        <v>1940</v>
      </c>
      <c r="H145" s="34">
        <v>880</v>
      </c>
      <c r="I145" s="34">
        <v>447.9</v>
      </c>
      <c r="J145" s="75">
        <v>879.07015999999999</v>
      </c>
      <c r="K145" s="35">
        <f>'1.06.'!M145</f>
        <v>373.9</v>
      </c>
      <c r="L145" s="36">
        <v>74</v>
      </c>
      <c r="M145" s="93">
        <f t="shared" si="67"/>
        <v>447.9</v>
      </c>
      <c r="N145" s="93">
        <f t="shared" si="68"/>
        <v>0</v>
      </c>
      <c r="O145" s="70">
        <f t="shared" si="53"/>
        <v>100</v>
      </c>
      <c r="P145" s="71">
        <f t="shared" si="42"/>
        <v>431.17016000000001</v>
      </c>
      <c r="Q145" s="35">
        <f t="shared" si="43"/>
        <v>0.92984000000001288</v>
      </c>
      <c r="R145" s="72">
        <v>1103705</v>
      </c>
      <c r="S145" s="72">
        <f t="shared" si="44"/>
        <v>1492.1</v>
      </c>
      <c r="T145" s="62">
        <f t="shared" si="62"/>
        <v>1060.92984</v>
      </c>
    </row>
    <row r="146" spans="1:20" ht="25.5">
      <c r="A146" s="9"/>
      <c r="B146" s="15"/>
      <c r="C146" s="15"/>
      <c r="D146" s="16"/>
      <c r="E146" s="20">
        <v>158</v>
      </c>
      <c r="F146" s="136" t="s">
        <v>101</v>
      </c>
      <c r="G146" s="34">
        <f>730+900</f>
        <v>1630</v>
      </c>
      <c r="H146" s="34">
        <v>1630</v>
      </c>
      <c r="I146" s="34">
        <v>666</v>
      </c>
      <c r="J146" s="75">
        <v>1360.6156000000001</v>
      </c>
      <c r="K146" s="35">
        <f>'1.06.'!M146</f>
        <v>604</v>
      </c>
      <c r="L146" s="36">
        <v>62</v>
      </c>
      <c r="M146" s="93">
        <f t="shared" si="67"/>
        <v>666</v>
      </c>
      <c r="N146" s="93">
        <f t="shared" si="68"/>
        <v>0</v>
      </c>
      <c r="O146" s="70">
        <f t="shared" si="53"/>
        <v>100</v>
      </c>
      <c r="P146" s="71">
        <f t="shared" si="42"/>
        <v>694.61560000000009</v>
      </c>
      <c r="Q146" s="35">
        <f t="shared" si="43"/>
        <v>269.38439999999991</v>
      </c>
      <c r="R146" s="72">
        <v>1103706</v>
      </c>
      <c r="S146" s="72">
        <f t="shared" si="44"/>
        <v>964</v>
      </c>
      <c r="T146" s="62">
        <f t="shared" si="62"/>
        <v>269.38439999999991</v>
      </c>
    </row>
    <row r="147" spans="1:20">
      <c r="A147" s="9"/>
      <c r="B147" s="15"/>
      <c r="C147" s="15"/>
      <c r="D147" s="16"/>
      <c r="E147" s="20">
        <v>159</v>
      </c>
      <c r="F147" s="136" t="s">
        <v>84</v>
      </c>
      <c r="G147" s="34">
        <f>5598-900-269.2</f>
        <v>4428.8</v>
      </c>
      <c r="H147" s="34">
        <v>3292</v>
      </c>
      <c r="I147" s="34">
        <v>1373</v>
      </c>
      <c r="J147" s="75">
        <v>3291.9951000000001</v>
      </c>
      <c r="K147" s="35">
        <f>'1.06.'!M147</f>
        <v>946</v>
      </c>
      <c r="L147" s="36">
        <v>427</v>
      </c>
      <c r="M147" s="93">
        <f t="shared" si="67"/>
        <v>1373</v>
      </c>
      <c r="N147" s="93">
        <f t="shared" si="68"/>
        <v>0</v>
      </c>
      <c r="O147" s="70">
        <f t="shared" si="53"/>
        <v>100</v>
      </c>
      <c r="P147" s="71">
        <f t="shared" si="42"/>
        <v>1918.9951000000001</v>
      </c>
      <c r="Q147" s="35">
        <f t="shared" si="43"/>
        <v>4.8999999999068677E-3</v>
      </c>
      <c r="R147" s="72">
        <v>1103707</v>
      </c>
      <c r="S147" s="72">
        <f t="shared" si="44"/>
        <v>3055.8</v>
      </c>
      <c r="T147" s="62">
        <f t="shared" si="62"/>
        <v>1136.8049000000001</v>
      </c>
    </row>
    <row r="148" spans="1:20">
      <c r="A148" s="9"/>
      <c r="B148" s="15"/>
      <c r="C148" s="15"/>
      <c r="D148" s="16"/>
      <c r="E148" s="20">
        <v>161</v>
      </c>
      <c r="F148" s="136" t="s">
        <v>102</v>
      </c>
      <c r="G148" s="37">
        <v>269.2</v>
      </c>
      <c r="H148" s="37">
        <v>269.2</v>
      </c>
      <c r="I148" s="37">
        <v>269.2</v>
      </c>
      <c r="J148" s="75">
        <f t="shared" si="74"/>
        <v>269.16000000000003</v>
      </c>
      <c r="K148" s="35">
        <f>'1.06.'!M148</f>
        <v>0</v>
      </c>
      <c r="L148" s="35">
        <v>269.16000000000003</v>
      </c>
      <c r="M148" s="93">
        <f t="shared" si="67"/>
        <v>269.16000000000003</v>
      </c>
      <c r="N148" s="93">
        <f t="shared" si="68"/>
        <v>3.999999999996362E-2</v>
      </c>
      <c r="O148" s="70">
        <f t="shared" si="53"/>
        <v>99.985141158989606</v>
      </c>
      <c r="P148" s="71">
        <f t="shared" si="42"/>
        <v>0</v>
      </c>
      <c r="Q148" s="35">
        <f t="shared" si="43"/>
        <v>3.999999999996362E-2</v>
      </c>
      <c r="R148" s="72">
        <v>1103708</v>
      </c>
      <c r="S148" s="72">
        <f t="shared" si="44"/>
        <v>3.999999999996362E-2</v>
      </c>
      <c r="T148" s="62">
        <f t="shared" si="62"/>
        <v>3.999999999996362E-2</v>
      </c>
    </row>
    <row r="149" spans="1:20">
      <c r="A149" s="9"/>
      <c r="B149" s="15"/>
      <c r="C149" s="15"/>
      <c r="D149" s="16"/>
      <c r="E149" s="20">
        <v>169</v>
      </c>
      <c r="F149" s="136" t="s">
        <v>103</v>
      </c>
      <c r="G149" s="34">
        <f>1298+1027</f>
        <v>2325</v>
      </c>
      <c r="H149" s="34">
        <v>1247.5</v>
      </c>
      <c r="I149" s="34">
        <v>1247.5</v>
      </c>
      <c r="J149" s="75">
        <v>1247.2794699999999</v>
      </c>
      <c r="K149" s="35">
        <f>'1.06.'!M149</f>
        <v>871.44857000000002</v>
      </c>
      <c r="L149" s="36">
        <v>375.83089999999999</v>
      </c>
      <c r="M149" s="93">
        <f t="shared" si="67"/>
        <v>1247.2794699999999</v>
      </c>
      <c r="N149" s="93">
        <f t="shared" si="68"/>
        <v>0.22053000000005341</v>
      </c>
      <c r="O149" s="70">
        <f t="shared" si="53"/>
        <v>99.982322244488969</v>
      </c>
      <c r="P149" s="71">
        <f t="shared" ref="P149:P215" si="75">J149-M149</f>
        <v>0</v>
      </c>
      <c r="Q149" s="35">
        <f t="shared" ref="Q149:Q215" si="76">H149-J149</f>
        <v>0.22053000000005341</v>
      </c>
      <c r="R149" s="72">
        <v>1103709</v>
      </c>
      <c r="S149" s="72">
        <f t="shared" ref="S149:S215" si="77">G149-M149</f>
        <v>1077.7205300000001</v>
      </c>
      <c r="T149" s="62">
        <f t="shared" si="62"/>
        <v>1077.7205300000001</v>
      </c>
    </row>
    <row r="150" spans="1:20" ht="25.5" hidden="1">
      <c r="A150" s="100"/>
      <c r="B150" s="15"/>
      <c r="C150" s="57" t="s">
        <v>43</v>
      </c>
      <c r="D150" s="16"/>
      <c r="E150" s="20"/>
      <c r="F150" s="3" t="s">
        <v>44</v>
      </c>
      <c r="G150" s="59">
        <f t="shared" ref="G150:N151" si="78">G151</f>
        <v>0</v>
      </c>
      <c r="H150" s="59">
        <f t="shared" si="78"/>
        <v>0</v>
      </c>
      <c r="I150" s="59">
        <f t="shared" si="78"/>
        <v>0</v>
      </c>
      <c r="J150" s="33">
        <f t="shared" si="78"/>
        <v>0</v>
      </c>
      <c r="K150" s="35">
        <f>'1.05.'!M149</f>
        <v>0</v>
      </c>
      <c r="L150" s="29">
        <f t="shared" si="78"/>
        <v>0</v>
      </c>
      <c r="M150" s="29">
        <f t="shared" si="78"/>
        <v>0</v>
      </c>
      <c r="N150" s="29">
        <f t="shared" si="78"/>
        <v>0</v>
      </c>
      <c r="O150" s="70"/>
      <c r="P150" s="71">
        <f t="shared" si="75"/>
        <v>0</v>
      </c>
      <c r="Q150" s="35">
        <f t="shared" si="76"/>
        <v>0</v>
      </c>
      <c r="R150" s="72">
        <v>1103710</v>
      </c>
      <c r="S150" s="72">
        <f t="shared" si="77"/>
        <v>0</v>
      </c>
    </row>
    <row r="151" spans="1:20" hidden="1">
      <c r="A151" s="9"/>
      <c r="B151" s="12"/>
      <c r="C151" s="12"/>
      <c r="D151" s="11" t="s">
        <v>7</v>
      </c>
      <c r="E151" s="97"/>
      <c r="F151" s="4" t="s">
        <v>22</v>
      </c>
      <c r="G151" s="98">
        <f>G152</f>
        <v>0</v>
      </c>
      <c r="H151" s="98">
        <f t="shared" si="78"/>
        <v>0</v>
      </c>
      <c r="I151" s="98">
        <f t="shared" si="78"/>
        <v>0</v>
      </c>
      <c r="J151" s="99">
        <f t="shared" si="78"/>
        <v>0</v>
      </c>
      <c r="K151" s="35">
        <f>'1.05.'!M150</f>
        <v>0</v>
      </c>
      <c r="L151" s="32">
        <f t="shared" si="78"/>
        <v>0</v>
      </c>
      <c r="M151" s="32">
        <f t="shared" si="78"/>
        <v>0</v>
      </c>
      <c r="N151" s="32">
        <f t="shared" si="78"/>
        <v>0</v>
      </c>
      <c r="O151" s="68" t="e">
        <f>M151/I151*100</f>
        <v>#DIV/0!</v>
      </c>
      <c r="P151" s="71">
        <f t="shared" si="75"/>
        <v>0</v>
      </c>
      <c r="Q151" s="35">
        <f t="shared" si="76"/>
        <v>0</v>
      </c>
      <c r="R151" s="72">
        <v>1103711</v>
      </c>
      <c r="S151" s="72">
        <f t="shared" si="77"/>
        <v>0</v>
      </c>
      <c r="T151" s="62">
        <f>G151-J151</f>
        <v>0</v>
      </c>
    </row>
    <row r="152" spans="1:20" ht="25.5" hidden="1">
      <c r="A152" s="9"/>
      <c r="B152" s="13"/>
      <c r="C152" s="13"/>
      <c r="D152" s="14"/>
      <c r="E152" s="20">
        <v>414</v>
      </c>
      <c r="F152" s="86" t="s">
        <v>64</v>
      </c>
      <c r="G152" s="37"/>
      <c r="H152" s="37"/>
      <c r="I152" s="37"/>
      <c r="J152" s="75"/>
      <c r="K152" s="35">
        <f>'1.05.'!M151</f>
        <v>0</v>
      </c>
      <c r="L152" s="71"/>
      <c r="M152" s="93">
        <f t="shared" si="67"/>
        <v>0</v>
      </c>
      <c r="N152" s="93">
        <f>I152-M152</f>
        <v>0</v>
      </c>
      <c r="O152" s="70"/>
      <c r="P152" s="71">
        <f t="shared" si="75"/>
        <v>0</v>
      </c>
      <c r="Q152" s="35">
        <f t="shared" si="76"/>
        <v>0</v>
      </c>
      <c r="R152" s="72">
        <v>1103712</v>
      </c>
      <c r="S152" s="72">
        <f t="shared" si="77"/>
        <v>0</v>
      </c>
    </row>
    <row r="153" spans="1:20" s="73" customFormat="1">
      <c r="A153" s="8"/>
      <c r="B153" s="8" t="s">
        <v>14</v>
      </c>
      <c r="C153" s="8"/>
      <c r="D153" s="21"/>
      <c r="E153" s="21"/>
      <c r="F153" s="139" t="s">
        <v>120</v>
      </c>
      <c r="G153" s="59">
        <f>G154+G175</f>
        <v>316128</v>
      </c>
      <c r="H153" s="59">
        <f t="shared" ref="H153:N153" si="79">H154+H175</f>
        <v>162791.1</v>
      </c>
      <c r="I153" s="59">
        <f t="shared" si="79"/>
        <v>147631</v>
      </c>
      <c r="J153" s="29">
        <f t="shared" si="79"/>
        <v>161622.41849999997</v>
      </c>
      <c r="K153" s="29">
        <f t="shared" si="79"/>
        <v>18632.26413</v>
      </c>
      <c r="L153" s="29">
        <f t="shared" si="79"/>
        <v>24940.660950000001</v>
      </c>
      <c r="M153" s="29">
        <f t="shared" si="79"/>
        <v>147306.88819999999</v>
      </c>
      <c r="N153" s="29">
        <f t="shared" si="79"/>
        <v>324.11179999999956</v>
      </c>
      <c r="O153" s="68">
        <f t="shared" si="53"/>
        <v>99.780458169354674</v>
      </c>
      <c r="P153" s="71">
        <f t="shared" si="75"/>
        <v>14315.530299999984</v>
      </c>
      <c r="Q153" s="35">
        <f t="shared" si="76"/>
        <v>1168.6815000000352</v>
      </c>
      <c r="R153" s="72">
        <v>1103713</v>
      </c>
      <c r="S153" s="72">
        <f t="shared" si="77"/>
        <v>168821.11180000001</v>
      </c>
      <c r="T153" s="62">
        <f t="shared" ref="T153:T234" si="80">G153-J153</f>
        <v>154505.58150000003</v>
      </c>
    </row>
    <row r="154" spans="1:20" ht="38.25">
      <c r="A154" s="8"/>
      <c r="B154" s="8"/>
      <c r="C154" s="17" t="s">
        <v>38</v>
      </c>
      <c r="D154" s="17"/>
      <c r="E154" s="21"/>
      <c r="F154" s="139" t="s">
        <v>121</v>
      </c>
      <c r="G154" s="42">
        <f>G155</f>
        <v>316128</v>
      </c>
      <c r="H154" s="42">
        <f t="shared" ref="H154:N154" si="81">H155</f>
        <v>162791.1</v>
      </c>
      <c r="I154" s="42">
        <f t="shared" si="81"/>
        <v>147631</v>
      </c>
      <c r="J154" s="29">
        <f t="shared" si="81"/>
        <v>161622.41849999997</v>
      </c>
      <c r="K154" s="29">
        <f>'1.02.'!M143</f>
        <v>18632.26413</v>
      </c>
      <c r="L154" s="29">
        <f t="shared" si="81"/>
        <v>24940.660950000001</v>
      </c>
      <c r="M154" s="29">
        <f t="shared" si="81"/>
        <v>147306.88819999999</v>
      </c>
      <c r="N154" s="29">
        <f t="shared" si="81"/>
        <v>324.11179999999956</v>
      </c>
      <c r="O154" s="68">
        <f t="shared" si="53"/>
        <v>99.780458169354674</v>
      </c>
      <c r="P154" s="71">
        <f t="shared" si="75"/>
        <v>14315.530299999984</v>
      </c>
      <c r="Q154" s="35">
        <f t="shared" si="76"/>
        <v>1168.6815000000352</v>
      </c>
      <c r="R154" s="72">
        <v>1103714</v>
      </c>
      <c r="S154" s="72">
        <f t="shared" si="77"/>
        <v>168821.11180000001</v>
      </c>
      <c r="T154" s="62">
        <f t="shared" si="80"/>
        <v>154505.58150000003</v>
      </c>
    </row>
    <row r="155" spans="1:20">
      <c r="A155" s="8"/>
      <c r="B155" s="8"/>
      <c r="C155" s="17"/>
      <c r="D155" s="17" t="s">
        <v>7</v>
      </c>
      <c r="E155" s="10"/>
      <c r="F155" s="140" t="s">
        <v>85</v>
      </c>
      <c r="G155" s="40">
        <f>SUM(G156:G174)</f>
        <v>316128</v>
      </c>
      <c r="H155" s="40">
        <f>SUM(H156:H174)</f>
        <v>162791.1</v>
      </c>
      <c r="I155" s="40">
        <f>SUM(I156:I174)</f>
        <v>147631</v>
      </c>
      <c r="J155" s="24">
        <f>SUM(J156:J174)</f>
        <v>161622.41849999997</v>
      </c>
      <c r="K155" s="24">
        <f t="shared" ref="K155:N155" si="82">SUM(K156:K174)</f>
        <v>122366.22725</v>
      </c>
      <c r="L155" s="24">
        <f t="shared" si="82"/>
        <v>24940.660950000001</v>
      </c>
      <c r="M155" s="24">
        <f t="shared" si="82"/>
        <v>147306.88819999999</v>
      </c>
      <c r="N155" s="24">
        <f t="shared" si="82"/>
        <v>324.11179999999956</v>
      </c>
      <c r="O155" s="66">
        <f t="shared" si="53"/>
        <v>99.780458169354674</v>
      </c>
      <c r="P155" s="71">
        <f t="shared" si="75"/>
        <v>14315.530299999984</v>
      </c>
      <c r="Q155" s="35">
        <f t="shared" si="76"/>
        <v>1168.6815000000352</v>
      </c>
      <c r="R155" s="72">
        <v>1103715</v>
      </c>
      <c r="S155" s="72">
        <f t="shared" si="77"/>
        <v>168821.11180000001</v>
      </c>
      <c r="T155" s="62">
        <f t="shared" si="80"/>
        <v>154505.58150000003</v>
      </c>
    </row>
    <row r="156" spans="1:20">
      <c r="A156" s="8"/>
      <c r="B156" s="9"/>
      <c r="C156" s="9"/>
      <c r="D156" s="69"/>
      <c r="E156" s="69">
        <v>111</v>
      </c>
      <c r="F156" s="136" t="s">
        <v>86</v>
      </c>
      <c r="G156" s="26">
        <f>216606-220</f>
        <v>216386</v>
      </c>
      <c r="H156" s="26">
        <v>103780</v>
      </c>
      <c r="I156" s="26">
        <v>103780</v>
      </c>
      <c r="J156" s="105">
        <f t="shared" ref="J156:J168" si="83">M156</f>
        <v>103780</v>
      </c>
      <c r="K156" s="35">
        <f>'1.06.'!M156</f>
        <v>86780</v>
      </c>
      <c r="L156" s="27">
        <v>17000</v>
      </c>
      <c r="M156" s="93">
        <f t="shared" si="67"/>
        <v>103780</v>
      </c>
      <c r="N156" s="93">
        <f t="shared" si="68"/>
        <v>0</v>
      </c>
      <c r="O156" s="70">
        <f t="shared" si="53"/>
        <v>100</v>
      </c>
      <c r="P156" s="71">
        <f t="shared" si="75"/>
        <v>0</v>
      </c>
      <c r="Q156" s="35">
        <f t="shared" si="76"/>
        <v>0</v>
      </c>
      <c r="R156" s="72">
        <v>1103716</v>
      </c>
      <c r="S156" s="72">
        <f t="shared" si="77"/>
        <v>112606</v>
      </c>
      <c r="T156" s="62">
        <f t="shared" si="80"/>
        <v>112606</v>
      </c>
    </row>
    <row r="157" spans="1:20">
      <c r="A157" s="8"/>
      <c r="B157" s="9"/>
      <c r="C157" s="9"/>
      <c r="D157" s="69"/>
      <c r="E157" s="69">
        <v>112</v>
      </c>
      <c r="F157" s="136" t="s">
        <v>87</v>
      </c>
      <c r="G157" s="26">
        <v>220</v>
      </c>
      <c r="H157" s="26">
        <v>220</v>
      </c>
      <c r="I157" s="26">
        <v>220</v>
      </c>
      <c r="J157" s="105">
        <f t="shared" si="83"/>
        <v>220</v>
      </c>
      <c r="K157" s="35">
        <f>'1.06.'!M157</f>
        <v>220</v>
      </c>
      <c r="L157" s="27"/>
      <c r="M157" s="93">
        <f t="shared" si="67"/>
        <v>220</v>
      </c>
      <c r="N157" s="93">
        <f t="shared" si="68"/>
        <v>0</v>
      </c>
      <c r="O157" s="70">
        <f t="shared" si="53"/>
        <v>100</v>
      </c>
      <c r="P157" s="71">
        <f t="shared" si="75"/>
        <v>0</v>
      </c>
      <c r="Q157" s="35">
        <f t="shared" si="76"/>
        <v>0</v>
      </c>
      <c r="R157" s="72">
        <v>1103717</v>
      </c>
      <c r="S157" s="72">
        <f t="shared" si="77"/>
        <v>0</v>
      </c>
    </row>
    <row r="158" spans="1:20">
      <c r="A158" s="8"/>
      <c r="B158" s="9"/>
      <c r="C158" s="9"/>
      <c r="D158" s="69"/>
      <c r="E158" s="76">
        <v>113</v>
      </c>
      <c r="F158" s="136" t="s">
        <v>88</v>
      </c>
      <c r="G158" s="26">
        <v>8519</v>
      </c>
      <c r="H158" s="26">
        <v>2801</v>
      </c>
      <c r="I158" s="26">
        <v>2801</v>
      </c>
      <c r="J158" s="105">
        <f t="shared" si="83"/>
        <v>2801</v>
      </c>
      <c r="K158" s="35">
        <f>'1.06.'!M158</f>
        <v>1601</v>
      </c>
      <c r="L158" s="27">
        <v>1200</v>
      </c>
      <c r="M158" s="93">
        <f t="shared" si="67"/>
        <v>2801</v>
      </c>
      <c r="N158" s="93">
        <f t="shared" si="68"/>
        <v>0</v>
      </c>
      <c r="O158" s="70">
        <f t="shared" si="53"/>
        <v>100</v>
      </c>
      <c r="P158" s="71">
        <f t="shared" si="75"/>
        <v>0</v>
      </c>
      <c r="Q158" s="35">
        <f t="shared" si="76"/>
        <v>0</v>
      </c>
      <c r="R158" s="72">
        <v>1103718</v>
      </c>
      <c r="S158" s="72">
        <f t="shared" si="77"/>
        <v>5718</v>
      </c>
      <c r="T158" s="62">
        <f t="shared" si="80"/>
        <v>5718</v>
      </c>
    </row>
    <row r="159" spans="1:20">
      <c r="A159" s="8"/>
      <c r="B159" s="9"/>
      <c r="C159" s="9"/>
      <c r="D159" s="69"/>
      <c r="E159" s="69">
        <v>116</v>
      </c>
      <c r="F159" s="136" t="s">
        <v>89</v>
      </c>
      <c r="G159" s="26">
        <v>2134</v>
      </c>
      <c r="H159" s="26">
        <v>1020</v>
      </c>
      <c r="I159" s="26">
        <v>1020</v>
      </c>
      <c r="J159" s="105">
        <f t="shared" si="83"/>
        <v>1020</v>
      </c>
      <c r="K159" s="35">
        <f>'1.06.'!M159</f>
        <v>850</v>
      </c>
      <c r="L159" s="27">
        <v>170</v>
      </c>
      <c r="M159" s="93">
        <f>K159+L159</f>
        <v>1020</v>
      </c>
      <c r="N159" s="93">
        <f>I159-M159</f>
        <v>0</v>
      </c>
      <c r="O159" s="70">
        <f>M159/I159*100</f>
        <v>100</v>
      </c>
      <c r="P159" s="71">
        <f t="shared" si="75"/>
        <v>0</v>
      </c>
      <c r="Q159" s="35">
        <f t="shared" si="76"/>
        <v>0</v>
      </c>
      <c r="R159" s="72">
        <v>1103719</v>
      </c>
      <c r="S159" s="72">
        <f t="shared" si="77"/>
        <v>1114</v>
      </c>
    </row>
    <row r="160" spans="1:20">
      <c r="A160" s="8"/>
      <c r="B160" s="9"/>
      <c r="C160" s="9"/>
      <c r="D160" s="69"/>
      <c r="E160" s="69">
        <v>121</v>
      </c>
      <c r="F160" s="136" t="s">
        <v>90</v>
      </c>
      <c r="G160" s="26">
        <v>11697</v>
      </c>
      <c r="H160" s="26">
        <v>5810</v>
      </c>
      <c r="I160" s="26">
        <v>5810</v>
      </c>
      <c r="J160" s="105">
        <f t="shared" si="83"/>
        <v>5810</v>
      </c>
      <c r="K160" s="35">
        <f>'1.06.'!M160</f>
        <v>4860</v>
      </c>
      <c r="L160" s="27">
        <v>950</v>
      </c>
      <c r="M160" s="93">
        <f t="shared" si="67"/>
        <v>5810</v>
      </c>
      <c r="N160" s="93">
        <f t="shared" si="68"/>
        <v>0</v>
      </c>
      <c r="O160" s="70">
        <f t="shared" ref="O160:O230" si="84">M160/I160*100</f>
        <v>100</v>
      </c>
      <c r="P160" s="71">
        <f t="shared" si="75"/>
        <v>0</v>
      </c>
      <c r="Q160" s="35">
        <f t="shared" si="76"/>
        <v>0</v>
      </c>
      <c r="R160" s="72">
        <v>1103720</v>
      </c>
      <c r="S160" s="72">
        <f t="shared" si="77"/>
        <v>5887</v>
      </c>
      <c r="T160" s="62">
        <f t="shared" si="80"/>
        <v>5887</v>
      </c>
    </row>
    <row r="161" spans="1:20">
      <c r="A161" s="8"/>
      <c r="B161" s="9"/>
      <c r="C161" s="9"/>
      <c r="D161" s="69"/>
      <c r="E161" s="69">
        <v>122</v>
      </c>
      <c r="F161" s="136" t="s">
        <v>91</v>
      </c>
      <c r="G161" s="26">
        <v>9747</v>
      </c>
      <c r="H161" s="26">
        <v>4130</v>
      </c>
      <c r="I161" s="26">
        <v>4130</v>
      </c>
      <c r="J161" s="105">
        <f t="shared" si="83"/>
        <v>4130</v>
      </c>
      <c r="K161" s="35">
        <f>'1.06.'!M161</f>
        <v>3365</v>
      </c>
      <c r="L161" s="27">
        <v>765</v>
      </c>
      <c r="M161" s="93">
        <f t="shared" si="67"/>
        <v>4130</v>
      </c>
      <c r="N161" s="93">
        <f t="shared" si="68"/>
        <v>0</v>
      </c>
      <c r="O161" s="70">
        <f t="shared" si="84"/>
        <v>100</v>
      </c>
      <c r="P161" s="71">
        <f t="shared" si="75"/>
        <v>0</v>
      </c>
      <c r="Q161" s="35">
        <f t="shared" si="76"/>
        <v>0</v>
      </c>
      <c r="R161" s="72">
        <v>1103721</v>
      </c>
      <c r="S161" s="72">
        <f t="shared" si="77"/>
        <v>5617</v>
      </c>
      <c r="T161" s="62">
        <f t="shared" si="80"/>
        <v>5617</v>
      </c>
    </row>
    <row r="162" spans="1:20">
      <c r="A162" s="8"/>
      <c r="B162" s="9"/>
      <c r="C162" s="9"/>
      <c r="D162" s="69"/>
      <c r="E162" s="69">
        <v>123</v>
      </c>
      <c r="F162" s="136" t="s">
        <v>92</v>
      </c>
      <c r="G162" s="26">
        <v>235</v>
      </c>
      <c r="H162" s="26">
        <v>91.6</v>
      </c>
      <c r="I162" s="26">
        <v>91.6</v>
      </c>
      <c r="J162" s="105">
        <f t="shared" si="83"/>
        <v>91.524770000000004</v>
      </c>
      <c r="K162" s="35">
        <f>'1.06.'!M162</f>
        <v>91.524770000000004</v>
      </c>
      <c r="L162" s="27"/>
      <c r="M162" s="93">
        <f t="shared" si="67"/>
        <v>91.524770000000004</v>
      </c>
      <c r="N162" s="93">
        <f t="shared" si="68"/>
        <v>7.5229999999990582E-2</v>
      </c>
      <c r="O162" s="70">
        <f t="shared" si="84"/>
        <v>99.917871179039309</v>
      </c>
      <c r="P162" s="71">
        <f t="shared" si="75"/>
        <v>0</v>
      </c>
      <c r="Q162" s="35">
        <f t="shared" si="76"/>
        <v>7.5229999999990582E-2</v>
      </c>
      <c r="R162" s="72">
        <v>1103722</v>
      </c>
      <c r="S162" s="72">
        <f t="shared" si="77"/>
        <v>143.47523000000001</v>
      </c>
      <c r="T162" s="62">
        <f t="shared" si="80"/>
        <v>143.47523000000001</v>
      </c>
    </row>
    <row r="163" spans="1:20">
      <c r="A163" s="9"/>
      <c r="B163" s="9"/>
      <c r="C163" s="9"/>
      <c r="D163" s="69"/>
      <c r="E163" s="69">
        <v>124</v>
      </c>
      <c r="F163" s="136" t="s">
        <v>93</v>
      </c>
      <c r="G163" s="26">
        <v>6378</v>
      </c>
      <c r="H163" s="26">
        <v>2550</v>
      </c>
      <c r="I163" s="26">
        <v>2550</v>
      </c>
      <c r="J163" s="105">
        <f t="shared" si="83"/>
        <v>2550</v>
      </c>
      <c r="K163" s="35">
        <f>'1.06.'!M163</f>
        <v>2030</v>
      </c>
      <c r="L163" s="27">
        <v>520</v>
      </c>
      <c r="M163" s="93">
        <f t="shared" si="67"/>
        <v>2550</v>
      </c>
      <c r="N163" s="93">
        <f t="shared" si="68"/>
        <v>0</v>
      </c>
      <c r="O163" s="70">
        <f t="shared" si="84"/>
        <v>100</v>
      </c>
      <c r="P163" s="71">
        <f t="shared" si="75"/>
        <v>0</v>
      </c>
      <c r="Q163" s="35">
        <f t="shared" si="76"/>
        <v>0</v>
      </c>
      <c r="R163" s="72">
        <v>1103723</v>
      </c>
      <c r="S163" s="72">
        <f t="shared" si="77"/>
        <v>3828</v>
      </c>
      <c r="T163" s="62">
        <f t="shared" si="80"/>
        <v>3828</v>
      </c>
    </row>
    <row r="164" spans="1:20" s="73" customFormat="1">
      <c r="A164" s="9"/>
      <c r="B164" s="9"/>
      <c r="C164" s="9"/>
      <c r="D164" s="69"/>
      <c r="E164" s="69">
        <v>141</v>
      </c>
      <c r="F164" s="136" t="s">
        <v>116</v>
      </c>
      <c r="G164" s="26">
        <v>20147</v>
      </c>
      <c r="H164" s="26">
        <v>18580</v>
      </c>
      <c r="I164" s="26">
        <v>7900</v>
      </c>
      <c r="J164" s="105">
        <v>18579.949199999999</v>
      </c>
      <c r="K164" s="35">
        <f>'1.06.'!M164</f>
        <v>6700</v>
      </c>
      <c r="L164" s="27">
        <v>1200</v>
      </c>
      <c r="M164" s="93">
        <f t="shared" si="67"/>
        <v>7900</v>
      </c>
      <c r="N164" s="93">
        <f t="shared" si="68"/>
        <v>0</v>
      </c>
      <c r="O164" s="70">
        <f t="shared" si="84"/>
        <v>100</v>
      </c>
      <c r="P164" s="71">
        <f t="shared" si="75"/>
        <v>10679.949199999999</v>
      </c>
      <c r="Q164" s="35">
        <f t="shared" si="76"/>
        <v>5.0800000000890577E-2</v>
      </c>
      <c r="R164" s="72">
        <v>1103724</v>
      </c>
      <c r="S164" s="72">
        <f t="shared" si="77"/>
        <v>12247</v>
      </c>
      <c r="T164" s="62">
        <f t="shared" si="80"/>
        <v>1567.0508000000009</v>
      </c>
    </row>
    <row r="165" spans="1:20" ht="25.5">
      <c r="A165" s="9"/>
      <c r="B165" s="9"/>
      <c r="C165" s="9"/>
      <c r="D165" s="69"/>
      <c r="E165" s="69">
        <v>142</v>
      </c>
      <c r="F165" s="136" t="s">
        <v>122</v>
      </c>
      <c r="G165" s="26">
        <v>2651</v>
      </c>
      <c r="H165" s="26">
        <v>1566.5</v>
      </c>
      <c r="I165" s="26">
        <v>1566.5</v>
      </c>
      <c r="J165" s="105">
        <v>1566.5</v>
      </c>
      <c r="K165" s="35">
        <f>'1.06.'!M165</f>
        <v>1000</v>
      </c>
      <c r="L165" s="27">
        <v>566.5</v>
      </c>
      <c r="M165" s="93">
        <f t="shared" si="67"/>
        <v>1566.5</v>
      </c>
      <c r="N165" s="93">
        <f t="shared" si="68"/>
        <v>0</v>
      </c>
      <c r="O165" s="70">
        <f t="shared" si="84"/>
        <v>100</v>
      </c>
      <c r="P165" s="71">
        <f t="shared" si="75"/>
        <v>0</v>
      </c>
      <c r="Q165" s="35">
        <f t="shared" si="76"/>
        <v>0</v>
      </c>
      <c r="R165" s="72">
        <v>1103725</v>
      </c>
      <c r="S165" s="72">
        <f t="shared" si="77"/>
        <v>1084.5</v>
      </c>
      <c r="T165" s="62">
        <f t="shared" si="80"/>
        <v>1084.5</v>
      </c>
    </row>
    <row r="166" spans="1:20">
      <c r="A166" s="9"/>
      <c r="B166" s="9"/>
      <c r="C166" s="9"/>
      <c r="D166" s="69"/>
      <c r="E166" s="69">
        <v>144</v>
      </c>
      <c r="F166" s="136" t="s">
        <v>97</v>
      </c>
      <c r="G166" s="26">
        <v>1400</v>
      </c>
      <c r="H166" s="26">
        <v>1400</v>
      </c>
      <c r="I166" s="26">
        <v>1400</v>
      </c>
      <c r="J166" s="105">
        <v>1399.8342700000001</v>
      </c>
      <c r="K166" s="35">
        <f>'1.06.'!M166</f>
        <v>1399.8342700000001</v>
      </c>
      <c r="L166" s="27"/>
      <c r="M166" s="93">
        <f t="shared" si="67"/>
        <v>1399.8342700000001</v>
      </c>
      <c r="N166" s="93">
        <f t="shared" si="68"/>
        <v>0.16572999999993954</v>
      </c>
      <c r="O166" s="70">
        <f t="shared" si="84"/>
        <v>99.988162142857149</v>
      </c>
      <c r="P166" s="71">
        <f t="shared" si="75"/>
        <v>0</v>
      </c>
      <c r="Q166" s="35">
        <f t="shared" si="76"/>
        <v>0.16572999999993954</v>
      </c>
      <c r="R166" s="72">
        <v>1103726</v>
      </c>
      <c r="S166" s="72">
        <f t="shared" si="77"/>
        <v>0.16572999999993954</v>
      </c>
      <c r="T166" s="62">
        <f t="shared" si="80"/>
        <v>0.16572999999993954</v>
      </c>
    </row>
    <row r="167" spans="1:20">
      <c r="A167" s="9"/>
      <c r="B167" s="9"/>
      <c r="C167" s="9"/>
      <c r="D167" s="69"/>
      <c r="E167" s="69">
        <v>149</v>
      </c>
      <c r="F167" s="136" t="s">
        <v>98</v>
      </c>
      <c r="G167" s="26">
        <v>9495</v>
      </c>
      <c r="H167" s="26">
        <v>4648.5</v>
      </c>
      <c r="I167" s="26">
        <v>4648.5</v>
      </c>
      <c r="J167" s="105">
        <v>4324.7708000000002</v>
      </c>
      <c r="K167" s="35">
        <f>'1.06.'!M167</f>
        <v>3857.4</v>
      </c>
      <c r="L167" s="27">
        <v>467.37079999999997</v>
      </c>
      <c r="M167" s="93">
        <f t="shared" si="67"/>
        <v>4324.7708000000002</v>
      </c>
      <c r="N167" s="93">
        <f t="shared" si="68"/>
        <v>323.72919999999976</v>
      </c>
      <c r="O167" s="70">
        <f t="shared" si="84"/>
        <v>93.035835215660967</v>
      </c>
      <c r="P167" s="71">
        <f t="shared" si="75"/>
        <v>0</v>
      </c>
      <c r="Q167" s="35">
        <f t="shared" si="76"/>
        <v>323.72919999999976</v>
      </c>
      <c r="R167" s="72">
        <v>1103727</v>
      </c>
      <c r="S167" s="72">
        <f t="shared" si="77"/>
        <v>5170.2291999999998</v>
      </c>
      <c r="T167" s="62">
        <f t="shared" si="80"/>
        <v>5170.2291999999998</v>
      </c>
    </row>
    <row r="168" spans="1:20">
      <c r="A168" s="9"/>
      <c r="B168" s="9"/>
      <c r="C168" s="9"/>
      <c r="D168" s="69"/>
      <c r="E168" s="69">
        <v>151</v>
      </c>
      <c r="F168" s="136" t="s">
        <v>99</v>
      </c>
      <c r="G168" s="26">
        <v>17588</v>
      </c>
      <c r="H168" s="26">
        <v>8900</v>
      </c>
      <c r="I168" s="26">
        <v>8900</v>
      </c>
      <c r="J168" s="105">
        <f t="shared" si="83"/>
        <v>8900</v>
      </c>
      <c r="K168" s="35">
        <f>'1.06.'!M168</f>
        <v>7400</v>
      </c>
      <c r="L168" s="27">
        <v>1500</v>
      </c>
      <c r="M168" s="93">
        <f t="shared" si="67"/>
        <v>8900</v>
      </c>
      <c r="N168" s="93">
        <f t="shared" si="68"/>
        <v>0</v>
      </c>
      <c r="O168" s="70">
        <f t="shared" si="84"/>
        <v>100</v>
      </c>
      <c r="P168" s="71">
        <f t="shared" si="75"/>
        <v>0</v>
      </c>
      <c r="Q168" s="35">
        <f t="shared" si="76"/>
        <v>0</v>
      </c>
      <c r="R168" s="72">
        <v>1103728</v>
      </c>
      <c r="S168" s="72">
        <f t="shared" si="77"/>
        <v>8688</v>
      </c>
      <c r="T168" s="62">
        <f t="shared" si="80"/>
        <v>8688</v>
      </c>
    </row>
    <row r="169" spans="1:20">
      <c r="A169" s="9"/>
      <c r="B169" s="9"/>
      <c r="C169" s="9"/>
      <c r="D169" s="69"/>
      <c r="E169" s="69">
        <v>152</v>
      </c>
      <c r="F169" s="136" t="s">
        <v>100</v>
      </c>
      <c r="G169" s="26">
        <v>1401</v>
      </c>
      <c r="H169" s="26">
        <v>1401</v>
      </c>
      <c r="I169" s="26">
        <v>397.4</v>
      </c>
      <c r="J169" s="105">
        <v>956.68</v>
      </c>
      <c r="K169" s="35">
        <f>'1.06.'!M169</f>
        <v>322.48821000000004</v>
      </c>
      <c r="L169" s="27">
        <v>74.812150000000003</v>
      </c>
      <c r="M169" s="93">
        <f t="shared" si="67"/>
        <v>397.30036000000007</v>
      </c>
      <c r="N169" s="93">
        <f t="shared" si="68"/>
        <v>9.9639999999908468E-2</v>
      </c>
      <c r="O169" s="70">
        <f t="shared" si="84"/>
        <v>99.974927025666858</v>
      </c>
      <c r="P169" s="71">
        <f t="shared" si="75"/>
        <v>559.37963999999988</v>
      </c>
      <c r="Q169" s="35">
        <f t="shared" si="76"/>
        <v>444.32000000000005</v>
      </c>
      <c r="R169" s="72">
        <v>1103729</v>
      </c>
      <c r="S169" s="72">
        <f t="shared" si="77"/>
        <v>1003.6996399999999</v>
      </c>
      <c r="T169" s="62">
        <f t="shared" si="80"/>
        <v>444.32000000000005</v>
      </c>
    </row>
    <row r="170" spans="1:20" ht="25.5">
      <c r="A170" s="9"/>
      <c r="B170" s="9"/>
      <c r="C170" s="9"/>
      <c r="D170" s="69"/>
      <c r="E170" s="69">
        <v>158</v>
      </c>
      <c r="F170" s="136" t="s">
        <v>101</v>
      </c>
      <c r="G170" s="26">
        <f>730+1099.4</f>
        <v>1829.4</v>
      </c>
      <c r="H170" s="26">
        <v>1829.4</v>
      </c>
      <c r="I170" s="26">
        <v>711.9</v>
      </c>
      <c r="J170" s="105">
        <v>1429.1756</v>
      </c>
      <c r="K170" s="35">
        <f>'1.06.'!M170</f>
        <v>629.92200000000003</v>
      </c>
      <c r="L170" s="27">
        <v>81.977999999999994</v>
      </c>
      <c r="M170" s="93">
        <f t="shared" si="67"/>
        <v>711.9</v>
      </c>
      <c r="N170" s="93">
        <f t="shared" si="68"/>
        <v>0</v>
      </c>
      <c r="O170" s="70">
        <f t="shared" si="84"/>
        <v>100</v>
      </c>
      <c r="P170" s="71">
        <f t="shared" si="75"/>
        <v>717.27560000000005</v>
      </c>
      <c r="Q170" s="35">
        <f t="shared" si="76"/>
        <v>400.22440000000006</v>
      </c>
      <c r="R170" s="72">
        <v>1103730</v>
      </c>
      <c r="S170" s="72">
        <f t="shared" si="77"/>
        <v>1117.5</v>
      </c>
      <c r="T170" s="62">
        <f t="shared" si="80"/>
        <v>400.22440000000006</v>
      </c>
    </row>
    <row r="171" spans="1:20">
      <c r="A171" s="9"/>
      <c r="B171" s="9"/>
      <c r="C171" s="9"/>
      <c r="D171" s="69"/>
      <c r="E171" s="69">
        <v>159</v>
      </c>
      <c r="F171" s="136" t="s">
        <v>84</v>
      </c>
      <c r="G171" s="26">
        <f>6564-1099.4</f>
        <v>5464.6</v>
      </c>
      <c r="H171" s="26">
        <v>3609.9</v>
      </c>
      <c r="I171" s="26">
        <v>1250.9000000000001</v>
      </c>
      <c r="J171" s="105">
        <v>3609.8258599999999</v>
      </c>
      <c r="K171" s="35">
        <f>'1.06.'!M171</f>
        <v>836.9</v>
      </c>
      <c r="L171" s="27">
        <v>414</v>
      </c>
      <c r="M171" s="93">
        <f t="shared" si="67"/>
        <v>1250.9000000000001</v>
      </c>
      <c r="N171" s="93">
        <f t="shared" si="68"/>
        <v>0</v>
      </c>
      <c r="O171" s="70">
        <f t="shared" si="84"/>
        <v>100</v>
      </c>
      <c r="P171" s="71">
        <f t="shared" si="75"/>
        <v>2358.9258599999998</v>
      </c>
      <c r="Q171" s="35">
        <f t="shared" si="76"/>
        <v>7.4140000000170403E-2</v>
      </c>
      <c r="R171" s="72">
        <v>1103731</v>
      </c>
      <c r="S171" s="72">
        <f t="shared" si="77"/>
        <v>4213.7000000000007</v>
      </c>
      <c r="T171" s="62">
        <f t="shared" si="80"/>
        <v>1854.7741400000004</v>
      </c>
    </row>
    <row r="172" spans="1:20">
      <c r="A172" s="9"/>
      <c r="B172" s="9"/>
      <c r="C172" s="9"/>
      <c r="D172" s="69"/>
      <c r="E172" s="69">
        <v>161</v>
      </c>
      <c r="F172" s="136" t="s">
        <v>102</v>
      </c>
      <c r="G172" s="26">
        <v>816</v>
      </c>
      <c r="H172" s="26">
        <v>443.2</v>
      </c>
      <c r="I172" s="26">
        <v>443.2</v>
      </c>
      <c r="J172" s="105">
        <f t="shared" ref="J172:J174" si="85">M172</f>
        <v>443.15800000000002</v>
      </c>
      <c r="K172" s="35">
        <f>'1.06.'!M172</f>
        <v>412.15800000000002</v>
      </c>
      <c r="L172" s="27">
        <v>31</v>
      </c>
      <c r="M172" s="93">
        <f t="shared" si="67"/>
        <v>443.15800000000002</v>
      </c>
      <c r="N172" s="93">
        <f t="shared" si="68"/>
        <v>4.199999999997317E-2</v>
      </c>
      <c r="O172" s="70">
        <f t="shared" si="84"/>
        <v>99.990523465703973</v>
      </c>
      <c r="P172" s="71">
        <f t="shared" si="75"/>
        <v>0</v>
      </c>
      <c r="Q172" s="35">
        <f t="shared" si="76"/>
        <v>4.199999999997317E-2</v>
      </c>
      <c r="R172" s="72">
        <v>1103732</v>
      </c>
      <c r="S172" s="72">
        <f t="shared" si="77"/>
        <v>372.84199999999998</v>
      </c>
      <c r="T172" s="62">
        <f t="shared" si="80"/>
        <v>372.84199999999998</v>
      </c>
    </row>
    <row r="173" spans="1:20">
      <c r="A173" s="9"/>
      <c r="B173" s="9"/>
      <c r="C173" s="9"/>
      <c r="D173" s="69"/>
      <c r="E173" s="69">
        <v>168</v>
      </c>
      <c r="F173" s="136" t="s">
        <v>167</v>
      </c>
      <c r="G173" s="26">
        <v>20</v>
      </c>
      <c r="H173" s="26">
        <v>10</v>
      </c>
      <c r="I173" s="26">
        <v>10</v>
      </c>
      <c r="J173" s="105">
        <f t="shared" si="85"/>
        <v>10</v>
      </c>
      <c r="K173" s="35">
        <f>'1.06.'!M173</f>
        <v>10</v>
      </c>
      <c r="L173" s="27"/>
      <c r="M173" s="93">
        <f t="shared" si="67"/>
        <v>10</v>
      </c>
      <c r="N173" s="93">
        <f t="shared" si="68"/>
        <v>0</v>
      </c>
      <c r="O173" s="70">
        <f t="shared" si="84"/>
        <v>100</v>
      </c>
      <c r="P173" s="71">
        <f t="shared" si="75"/>
        <v>0</v>
      </c>
      <c r="Q173" s="35">
        <f t="shared" si="76"/>
        <v>0</v>
      </c>
      <c r="R173" s="72">
        <v>1103733</v>
      </c>
      <c r="S173" s="72">
        <f t="shared" si="77"/>
        <v>10</v>
      </c>
    </row>
    <row r="174" spans="1:20">
      <c r="A174" s="9"/>
      <c r="B174" s="9"/>
      <c r="C174" s="9"/>
      <c r="D174" s="69"/>
      <c r="E174" s="69">
        <v>169</v>
      </c>
      <c r="F174" s="136" t="s">
        <v>103</v>
      </c>
      <c r="G174" s="26">
        <f>20-20</f>
        <v>0</v>
      </c>
      <c r="H174" s="26"/>
      <c r="I174" s="26"/>
      <c r="J174" s="105">
        <f t="shared" si="85"/>
        <v>0</v>
      </c>
      <c r="K174" s="35">
        <f>'1.06.'!M174</f>
        <v>0</v>
      </c>
      <c r="L174" s="27"/>
      <c r="M174" s="93">
        <f>K174+L174</f>
        <v>0</v>
      </c>
      <c r="N174" s="93">
        <f t="shared" si="68"/>
        <v>0</v>
      </c>
      <c r="O174" s="70" t="e">
        <f t="shared" si="84"/>
        <v>#DIV/0!</v>
      </c>
      <c r="P174" s="71">
        <f t="shared" si="75"/>
        <v>0</v>
      </c>
      <c r="Q174" s="35">
        <f t="shared" si="76"/>
        <v>0</v>
      </c>
      <c r="R174" s="72">
        <v>1103733</v>
      </c>
      <c r="S174" s="72">
        <f t="shared" si="77"/>
        <v>0</v>
      </c>
      <c r="T174" s="62">
        <f t="shared" si="80"/>
        <v>0</v>
      </c>
    </row>
    <row r="175" spans="1:20" ht="25.5" hidden="1">
      <c r="A175" s="100"/>
      <c r="B175" s="15"/>
      <c r="C175" s="57" t="s">
        <v>43</v>
      </c>
      <c r="D175" s="16"/>
      <c r="E175" s="20"/>
      <c r="F175" s="3" t="s">
        <v>44</v>
      </c>
      <c r="G175" s="59">
        <f t="shared" ref="G175:N175" si="86">G176</f>
        <v>0</v>
      </c>
      <c r="H175" s="59">
        <f t="shared" si="86"/>
        <v>0</v>
      </c>
      <c r="I175" s="59">
        <f t="shared" si="86"/>
        <v>0</v>
      </c>
      <c r="J175" s="29">
        <f t="shared" si="86"/>
        <v>0</v>
      </c>
      <c r="K175" s="35">
        <f>'1.02.'!M163</f>
        <v>0</v>
      </c>
      <c r="L175" s="59">
        <f t="shared" si="86"/>
        <v>0</v>
      </c>
      <c r="M175" s="29">
        <f t="shared" si="86"/>
        <v>0</v>
      </c>
      <c r="N175" s="29">
        <f t="shared" si="86"/>
        <v>0</v>
      </c>
      <c r="O175" s="70"/>
      <c r="P175" s="71">
        <f t="shared" si="75"/>
        <v>0</v>
      </c>
      <c r="Q175" s="35">
        <f t="shared" si="76"/>
        <v>0</v>
      </c>
      <c r="R175" s="72">
        <v>1103734</v>
      </c>
      <c r="S175" s="72">
        <f t="shared" si="77"/>
        <v>0</v>
      </c>
    </row>
    <row r="176" spans="1:20" hidden="1">
      <c r="A176" s="9"/>
      <c r="B176" s="12"/>
      <c r="C176" s="12"/>
      <c r="D176" s="11" t="s">
        <v>7</v>
      </c>
      <c r="E176" s="97"/>
      <c r="F176" s="4" t="s">
        <v>22</v>
      </c>
      <c r="G176" s="98">
        <f>G177+G178+G179</f>
        <v>0</v>
      </c>
      <c r="H176" s="98">
        <f t="shared" ref="H176:M176" si="87">H177+H178+H179</f>
        <v>0</v>
      </c>
      <c r="I176" s="98">
        <f t="shared" si="87"/>
        <v>0</v>
      </c>
      <c r="J176" s="32">
        <f t="shared" si="87"/>
        <v>0</v>
      </c>
      <c r="K176" s="35">
        <f>'1.02.'!M164</f>
        <v>0</v>
      </c>
      <c r="L176" s="98">
        <f t="shared" si="87"/>
        <v>0</v>
      </c>
      <c r="M176" s="32">
        <f t="shared" si="87"/>
        <v>0</v>
      </c>
      <c r="N176" s="32">
        <f>N177+N178+N179</f>
        <v>0</v>
      </c>
      <c r="O176" s="68" t="e">
        <f>M176/I176*100</f>
        <v>#DIV/0!</v>
      </c>
      <c r="P176" s="71">
        <f t="shared" si="75"/>
        <v>0</v>
      </c>
      <c r="Q176" s="35">
        <f t="shared" si="76"/>
        <v>0</v>
      </c>
      <c r="R176" s="72">
        <v>1103735</v>
      </c>
      <c r="S176" s="72">
        <f t="shared" si="77"/>
        <v>0</v>
      </c>
      <c r="T176" s="62">
        <f>G176-J176</f>
        <v>0</v>
      </c>
    </row>
    <row r="177" spans="1:20" hidden="1">
      <c r="A177" s="9"/>
      <c r="B177" s="13"/>
      <c r="C177" s="13"/>
      <c r="D177" s="14"/>
      <c r="E177" s="20">
        <v>413</v>
      </c>
      <c r="F177" s="106" t="s">
        <v>56</v>
      </c>
      <c r="G177" s="34"/>
      <c r="H177" s="34"/>
      <c r="I177" s="34"/>
      <c r="J177" s="107">
        <f>M177</f>
        <v>0</v>
      </c>
      <c r="K177" s="35">
        <f>'1.02.'!M165</f>
        <v>0</v>
      </c>
      <c r="L177" s="34"/>
      <c r="M177" s="93">
        <f t="shared" ref="M177:M179" si="88">K177+L177</f>
        <v>0</v>
      </c>
      <c r="N177" s="93">
        <f t="shared" ref="N177:N179" si="89">I177-M177</f>
        <v>0</v>
      </c>
      <c r="O177" s="70"/>
      <c r="P177" s="71">
        <f t="shared" si="75"/>
        <v>0</v>
      </c>
      <c r="Q177" s="35">
        <f t="shared" si="76"/>
        <v>0</v>
      </c>
      <c r="R177" s="72">
        <v>1103736</v>
      </c>
      <c r="S177" s="72">
        <f t="shared" si="77"/>
        <v>0</v>
      </c>
    </row>
    <row r="178" spans="1:20" ht="25.5" hidden="1">
      <c r="A178" s="9"/>
      <c r="B178" s="13"/>
      <c r="C178" s="13"/>
      <c r="D178" s="14"/>
      <c r="E178" s="20">
        <v>414</v>
      </c>
      <c r="F178" s="86" t="s">
        <v>64</v>
      </c>
      <c r="G178" s="37"/>
      <c r="H178" s="37"/>
      <c r="I178" s="37"/>
      <c r="J178" s="107">
        <f t="shared" ref="J178:J179" si="90">M178</f>
        <v>0</v>
      </c>
      <c r="K178" s="35">
        <f>'1.02.'!M166</f>
        <v>0</v>
      </c>
      <c r="L178" s="37"/>
      <c r="M178" s="93">
        <f t="shared" si="88"/>
        <v>0</v>
      </c>
      <c r="N178" s="93">
        <f t="shared" si="89"/>
        <v>0</v>
      </c>
      <c r="O178" s="70"/>
      <c r="P178" s="71">
        <f t="shared" si="75"/>
        <v>0</v>
      </c>
      <c r="Q178" s="35">
        <f t="shared" si="76"/>
        <v>0</v>
      </c>
      <c r="R178" s="72">
        <v>1103737</v>
      </c>
      <c r="S178" s="72">
        <f t="shared" si="77"/>
        <v>0</v>
      </c>
    </row>
    <row r="179" spans="1:20" ht="25.5" hidden="1">
      <c r="A179" s="100"/>
      <c r="B179" s="15"/>
      <c r="C179" s="15"/>
      <c r="D179" s="16"/>
      <c r="E179" s="20">
        <v>421</v>
      </c>
      <c r="F179" s="3" t="s">
        <v>60</v>
      </c>
      <c r="G179" s="37"/>
      <c r="H179" s="37"/>
      <c r="I179" s="37"/>
      <c r="J179" s="107">
        <f t="shared" si="90"/>
        <v>0</v>
      </c>
      <c r="K179" s="35">
        <f>'1.02.'!M167</f>
        <v>0</v>
      </c>
      <c r="L179" s="35"/>
      <c r="M179" s="93">
        <f t="shared" si="88"/>
        <v>0</v>
      </c>
      <c r="N179" s="93">
        <f t="shared" si="89"/>
        <v>0</v>
      </c>
      <c r="O179" s="70" t="e">
        <f t="shared" ref="O179" si="91">M179/I179*100</f>
        <v>#DIV/0!</v>
      </c>
      <c r="P179" s="71">
        <f t="shared" si="75"/>
        <v>0</v>
      </c>
      <c r="Q179" s="35">
        <f t="shared" si="76"/>
        <v>0</v>
      </c>
      <c r="R179" s="72">
        <v>1103738</v>
      </c>
      <c r="S179" s="72">
        <f t="shared" si="77"/>
        <v>0</v>
      </c>
    </row>
    <row r="180" spans="1:20" s="95" customFormat="1" ht="13.5">
      <c r="A180" s="8"/>
      <c r="B180" s="57">
        <v>1265</v>
      </c>
      <c r="C180" s="12"/>
      <c r="D180" s="11"/>
      <c r="E180" s="18"/>
      <c r="F180" s="139" t="s">
        <v>123</v>
      </c>
      <c r="G180" s="42">
        <f>G181+G202</f>
        <v>1298876</v>
      </c>
      <c r="H180" s="42">
        <f t="shared" ref="H180:N180" si="92">H181+H202</f>
        <v>899205</v>
      </c>
      <c r="I180" s="42">
        <f t="shared" si="92"/>
        <v>708967.3</v>
      </c>
      <c r="J180" s="29">
        <f t="shared" si="92"/>
        <v>896543.87106000003</v>
      </c>
      <c r="K180" s="29">
        <f t="shared" si="92"/>
        <v>48654.000999999997</v>
      </c>
      <c r="L180" s="29">
        <f t="shared" si="92"/>
        <v>170112.76199999999</v>
      </c>
      <c r="M180" s="29">
        <f t="shared" si="92"/>
        <v>706076.67648999998</v>
      </c>
      <c r="N180" s="29">
        <f t="shared" si="92"/>
        <v>2890.6235100000308</v>
      </c>
      <c r="O180" s="68">
        <f t="shared" si="84"/>
        <v>99.592276892037177</v>
      </c>
      <c r="P180" s="71">
        <f t="shared" si="75"/>
        <v>190467.19457000005</v>
      </c>
      <c r="Q180" s="35">
        <f t="shared" si="76"/>
        <v>2661.128939999966</v>
      </c>
      <c r="R180" s="72">
        <v>1103739</v>
      </c>
      <c r="S180" s="72">
        <f t="shared" si="77"/>
        <v>592799.32351000002</v>
      </c>
      <c r="T180" s="62">
        <f t="shared" si="80"/>
        <v>402332.12893999997</v>
      </c>
    </row>
    <row r="181" spans="1:20" ht="63.75">
      <c r="A181" s="8"/>
      <c r="B181" s="12"/>
      <c r="C181" s="12" t="s">
        <v>23</v>
      </c>
      <c r="D181" s="11"/>
      <c r="E181" s="18"/>
      <c r="F181" s="139" t="s">
        <v>124</v>
      </c>
      <c r="G181" s="42">
        <f>G182</f>
        <v>947947</v>
      </c>
      <c r="H181" s="42">
        <f t="shared" ref="H181:N181" si="93">H182</f>
        <v>548276</v>
      </c>
      <c r="I181" s="42">
        <f t="shared" si="93"/>
        <v>427270.3</v>
      </c>
      <c r="J181" s="60">
        <f t="shared" si="93"/>
        <v>545614.87106000003</v>
      </c>
      <c r="K181" s="29">
        <f>'1.02.'!M169</f>
        <v>48654.000999999997</v>
      </c>
      <c r="L181" s="29">
        <f t="shared" si="93"/>
        <v>98799.255000000005</v>
      </c>
      <c r="M181" s="29">
        <f t="shared" si="93"/>
        <v>424380.39900999994</v>
      </c>
      <c r="N181" s="29">
        <f t="shared" si="93"/>
        <v>2889.9009900000206</v>
      </c>
      <c r="O181" s="66">
        <f t="shared" si="84"/>
        <v>99.323636351508625</v>
      </c>
      <c r="P181" s="71">
        <f t="shared" si="75"/>
        <v>121234.4720500001</v>
      </c>
      <c r="Q181" s="35">
        <f t="shared" si="76"/>
        <v>2661.128939999966</v>
      </c>
      <c r="R181" s="72">
        <v>1103740</v>
      </c>
      <c r="S181" s="72">
        <f t="shared" si="77"/>
        <v>523566.60099000006</v>
      </c>
      <c r="T181" s="62">
        <f t="shared" si="80"/>
        <v>402332.12893999997</v>
      </c>
    </row>
    <row r="182" spans="1:20">
      <c r="A182" s="9"/>
      <c r="B182" s="12"/>
      <c r="C182" s="12"/>
      <c r="D182" s="11" t="s">
        <v>7</v>
      </c>
      <c r="E182" s="97"/>
      <c r="F182" s="140" t="s">
        <v>85</v>
      </c>
      <c r="G182" s="98">
        <f t="shared" ref="G182:I182" si="94">SUM(G183:G201)</f>
        <v>947947</v>
      </c>
      <c r="H182" s="98">
        <f t="shared" si="94"/>
        <v>548276</v>
      </c>
      <c r="I182" s="98">
        <f t="shared" si="94"/>
        <v>427270.3</v>
      </c>
      <c r="J182" s="32">
        <f>SUM(J183:J201)</f>
        <v>545614.87106000003</v>
      </c>
      <c r="K182" s="32">
        <f>SUM(K183:K201)</f>
        <v>325581.14400999999</v>
      </c>
      <c r="L182" s="32">
        <f t="shared" ref="L182:N182" si="95">SUM(L183:L201)</f>
        <v>98799.255000000005</v>
      </c>
      <c r="M182" s="32">
        <f t="shared" si="95"/>
        <v>424380.39900999994</v>
      </c>
      <c r="N182" s="32">
        <f t="shared" si="95"/>
        <v>2889.9009900000206</v>
      </c>
      <c r="O182" s="68">
        <f t="shared" si="84"/>
        <v>99.323636351508625</v>
      </c>
      <c r="P182" s="71">
        <f t="shared" si="75"/>
        <v>121234.4720500001</v>
      </c>
      <c r="Q182" s="35">
        <f t="shared" si="76"/>
        <v>2661.128939999966</v>
      </c>
      <c r="R182" s="72">
        <v>1103741</v>
      </c>
      <c r="S182" s="72">
        <f t="shared" si="77"/>
        <v>523566.60099000006</v>
      </c>
      <c r="T182" s="62">
        <f t="shared" si="80"/>
        <v>402332.12893999997</v>
      </c>
    </row>
    <row r="183" spans="1:20">
      <c r="A183" s="9"/>
      <c r="B183" s="13"/>
      <c r="C183" s="13"/>
      <c r="D183" s="14"/>
      <c r="E183" s="20">
        <v>111</v>
      </c>
      <c r="F183" s="136" t="s">
        <v>86</v>
      </c>
      <c r="G183" s="37">
        <f>618499-385</f>
        <v>618114</v>
      </c>
      <c r="H183" s="37">
        <v>292615</v>
      </c>
      <c r="I183" s="37">
        <v>292615</v>
      </c>
      <c r="J183" s="75">
        <f>M183</f>
        <v>292614.99099999998</v>
      </c>
      <c r="K183" s="35">
        <f>'1.06.'!M183</f>
        <v>238615</v>
      </c>
      <c r="L183" s="35">
        <v>53999.991000000002</v>
      </c>
      <c r="M183" s="93">
        <f>K183+L183</f>
        <v>292614.99099999998</v>
      </c>
      <c r="N183" s="93">
        <f>I183-M183</f>
        <v>9.0000000200234354E-3</v>
      </c>
      <c r="O183" s="70">
        <f t="shared" si="84"/>
        <v>99.999996924286165</v>
      </c>
      <c r="P183" s="71">
        <f t="shared" si="75"/>
        <v>0</v>
      </c>
      <c r="Q183" s="35">
        <f t="shared" si="76"/>
        <v>9.0000000200234354E-3</v>
      </c>
      <c r="R183" s="72">
        <v>1103742</v>
      </c>
      <c r="S183" s="72">
        <f t="shared" si="77"/>
        <v>325499.00900000002</v>
      </c>
      <c r="T183" s="62">
        <f t="shared" si="80"/>
        <v>325499.00900000002</v>
      </c>
    </row>
    <row r="184" spans="1:20">
      <c r="A184" s="9"/>
      <c r="B184" s="13"/>
      <c r="C184" s="13"/>
      <c r="D184" s="14"/>
      <c r="E184" s="69">
        <v>112</v>
      </c>
      <c r="F184" s="136" t="s">
        <v>87</v>
      </c>
      <c r="G184" s="37">
        <v>308</v>
      </c>
      <c r="H184" s="37">
        <v>308</v>
      </c>
      <c r="I184" s="37">
        <v>308</v>
      </c>
      <c r="J184" s="75">
        <f t="shared" ref="J184:J190" si="96">M184</f>
        <v>307.48599999999999</v>
      </c>
      <c r="K184" s="35">
        <f>'1.06.'!M184</f>
        <v>307.48599999999999</v>
      </c>
      <c r="L184" s="35"/>
      <c r="M184" s="93">
        <f>K184+L184</f>
        <v>307.48599999999999</v>
      </c>
      <c r="N184" s="93">
        <f t="shared" ref="N184:N185" si="97">I184-M184</f>
        <v>0.51400000000001</v>
      </c>
      <c r="O184" s="70">
        <f t="shared" si="84"/>
        <v>99.833116883116872</v>
      </c>
      <c r="P184" s="71">
        <f t="shared" si="75"/>
        <v>0</v>
      </c>
      <c r="Q184" s="35">
        <f t="shared" si="76"/>
        <v>0.51400000000001</v>
      </c>
      <c r="R184" s="72">
        <v>1103743</v>
      </c>
      <c r="S184" s="72">
        <f t="shared" si="77"/>
        <v>0.51400000000001</v>
      </c>
    </row>
    <row r="185" spans="1:20">
      <c r="A185" s="9"/>
      <c r="B185" s="15"/>
      <c r="C185" s="15"/>
      <c r="D185" s="16"/>
      <c r="E185" s="20">
        <v>113</v>
      </c>
      <c r="F185" s="136" t="s">
        <v>88</v>
      </c>
      <c r="G185" s="37">
        <v>19771</v>
      </c>
      <c r="H185" s="37">
        <v>6824</v>
      </c>
      <c r="I185" s="37">
        <v>6824</v>
      </c>
      <c r="J185" s="75">
        <f t="shared" si="96"/>
        <v>6824</v>
      </c>
      <c r="K185" s="35">
        <f>'1.06.'!M185</f>
        <v>4986</v>
      </c>
      <c r="L185" s="35">
        <v>1838</v>
      </c>
      <c r="M185" s="93">
        <f t="shared" si="67"/>
        <v>6824</v>
      </c>
      <c r="N185" s="93">
        <f t="shared" si="97"/>
        <v>0</v>
      </c>
      <c r="O185" s="70">
        <f t="shared" si="84"/>
        <v>100</v>
      </c>
      <c r="P185" s="71">
        <f t="shared" si="75"/>
        <v>0</v>
      </c>
      <c r="Q185" s="35">
        <f t="shared" si="76"/>
        <v>0</v>
      </c>
      <c r="R185" s="72">
        <v>1103744</v>
      </c>
      <c r="S185" s="72">
        <f t="shared" si="77"/>
        <v>12947</v>
      </c>
      <c r="T185" s="62">
        <f t="shared" si="80"/>
        <v>12947</v>
      </c>
    </row>
    <row r="186" spans="1:20">
      <c r="A186" s="9"/>
      <c r="B186" s="15"/>
      <c r="C186" s="15"/>
      <c r="D186" s="16"/>
      <c r="E186" s="69">
        <v>116</v>
      </c>
      <c r="F186" s="136" t="s">
        <v>89</v>
      </c>
      <c r="G186" s="37">
        <v>10353</v>
      </c>
      <c r="H186" s="37">
        <v>5660</v>
      </c>
      <c r="I186" s="37">
        <v>5660</v>
      </c>
      <c r="J186" s="75">
        <f t="shared" si="96"/>
        <v>5659.8289999999997</v>
      </c>
      <c r="K186" s="35">
        <f>'1.06.'!M186</f>
        <v>4699.8980000000001</v>
      </c>
      <c r="L186" s="35">
        <v>959.93100000000004</v>
      </c>
      <c r="M186" s="93">
        <f>K186+L186</f>
        <v>5659.8289999999997</v>
      </c>
      <c r="N186" s="93">
        <f>I186-M186</f>
        <v>0.17100000000027649</v>
      </c>
      <c r="O186" s="70">
        <f>M186/I186*100</f>
        <v>99.996978798586568</v>
      </c>
      <c r="P186" s="71">
        <f t="shared" si="75"/>
        <v>0</v>
      </c>
      <c r="Q186" s="35">
        <f t="shared" si="76"/>
        <v>0.17100000000027649</v>
      </c>
      <c r="R186" s="72">
        <v>1103745</v>
      </c>
      <c r="S186" s="72">
        <f t="shared" si="77"/>
        <v>4693.1710000000003</v>
      </c>
    </row>
    <row r="187" spans="1:20">
      <c r="A187" s="9"/>
      <c r="B187" s="15"/>
      <c r="C187" s="15"/>
      <c r="D187" s="16"/>
      <c r="E187" s="20">
        <v>121</v>
      </c>
      <c r="F187" s="136" t="s">
        <v>90</v>
      </c>
      <c r="G187" s="37">
        <f>32039+200+200</f>
        <v>32439</v>
      </c>
      <c r="H187" s="37">
        <v>16100</v>
      </c>
      <c r="I187" s="37">
        <v>16100</v>
      </c>
      <c r="J187" s="75">
        <f t="shared" si="96"/>
        <v>16100</v>
      </c>
      <c r="K187" s="35">
        <f>'1.06.'!M187</f>
        <v>13300</v>
      </c>
      <c r="L187" s="35">
        <v>2800</v>
      </c>
      <c r="M187" s="93">
        <f>K187+L187</f>
        <v>16100</v>
      </c>
      <c r="N187" s="93">
        <f>I187-M187</f>
        <v>0</v>
      </c>
      <c r="O187" s="70">
        <f>M187/I187*100</f>
        <v>100</v>
      </c>
      <c r="P187" s="71">
        <f t="shared" si="75"/>
        <v>0</v>
      </c>
      <c r="Q187" s="35">
        <f t="shared" si="76"/>
        <v>0</v>
      </c>
      <c r="R187" s="72">
        <v>1103746</v>
      </c>
      <c r="S187" s="72">
        <f t="shared" si="77"/>
        <v>16339</v>
      </c>
      <c r="T187" s="62">
        <f t="shared" si="80"/>
        <v>16339</v>
      </c>
    </row>
    <row r="188" spans="1:20">
      <c r="A188" s="9"/>
      <c r="B188" s="15"/>
      <c r="C188" s="15"/>
      <c r="D188" s="16"/>
      <c r="E188" s="20">
        <v>122</v>
      </c>
      <c r="F188" s="136" t="s">
        <v>91</v>
      </c>
      <c r="G188" s="37">
        <f>27832-200-200</f>
        <v>27432</v>
      </c>
      <c r="H188" s="37">
        <v>12320</v>
      </c>
      <c r="I188" s="37">
        <v>12320</v>
      </c>
      <c r="J188" s="75">
        <f t="shared" si="96"/>
        <v>12320</v>
      </c>
      <c r="K188" s="35">
        <f>'1.06.'!M188</f>
        <v>10106.273000000001</v>
      </c>
      <c r="L188" s="35">
        <v>2213.7269999999999</v>
      </c>
      <c r="M188" s="93">
        <f t="shared" si="67"/>
        <v>12320</v>
      </c>
      <c r="N188" s="93">
        <f t="shared" si="68"/>
        <v>0</v>
      </c>
      <c r="O188" s="70">
        <f t="shared" si="84"/>
        <v>100</v>
      </c>
      <c r="P188" s="71">
        <f t="shared" si="75"/>
        <v>0</v>
      </c>
      <c r="Q188" s="35">
        <f t="shared" si="76"/>
        <v>0</v>
      </c>
      <c r="R188" s="72">
        <v>1103747</v>
      </c>
      <c r="S188" s="72">
        <f t="shared" si="77"/>
        <v>15112</v>
      </c>
      <c r="T188" s="62">
        <f t="shared" si="80"/>
        <v>15112</v>
      </c>
    </row>
    <row r="189" spans="1:20">
      <c r="A189" s="9"/>
      <c r="B189" s="15"/>
      <c r="C189" s="15"/>
      <c r="D189" s="16"/>
      <c r="E189" s="20">
        <v>123</v>
      </c>
      <c r="F189" s="136" t="s">
        <v>92</v>
      </c>
      <c r="G189" s="37">
        <f>168+34</f>
        <v>202</v>
      </c>
      <c r="H189" s="37">
        <v>202</v>
      </c>
      <c r="I189" s="37">
        <v>202</v>
      </c>
      <c r="J189" s="75">
        <f t="shared" si="96"/>
        <v>201.94200000000001</v>
      </c>
      <c r="K189" s="35">
        <f>'1.06.'!M189</f>
        <v>201.94200000000001</v>
      </c>
      <c r="L189" s="35"/>
      <c r="M189" s="93">
        <f t="shared" si="67"/>
        <v>201.94200000000001</v>
      </c>
      <c r="N189" s="93">
        <f t="shared" si="68"/>
        <v>5.7999999999992724E-2</v>
      </c>
      <c r="O189" s="70">
        <f t="shared" si="84"/>
        <v>99.971287128712873</v>
      </c>
      <c r="P189" s="71">
        <f t="shared" si="75"/>
        <v>0</v>
      </c>
      <c r="Q189" s="35">
        <f t="shared" si="76"/>
        <v>5.7999999999992724E-2</v>
      </c>
      <c r="R189" s="72">
        <v>1103748</v>
      </c>
      <c r="S189" s="72">
        <f t="shared" si="77"/>
        <v>5.7999999999992724E-2</v>
      </c>
      <c r="T189" s="62">
        <f t="shared" si="80"/>
        <v>5.7999999999992724E-2</v>
      </c>
    </row>
    <row r="190" spans="1:20">
      <c r="A190" s="9"/>
      <c r="B190" s="15"/>
      <c r="C190" s="15"/>
      <c r="D190" s="16"/>
      <c r="E190" s="20">
        <v>124</v>
      </c>
      <c r="F190" s="136" t="s">
        <v>93</v>
      </c>
      <c r="G190" s="37">
        <f>15607-58-326</f>
        <v>15223</v>
      </c>
      <c r="H190" s="37">
        <v>6724</v>
      </c>
      <c r="I190" s="37">
        <v>6724</v>
      </c>
      <c r="J190" s="75">
        <f t="shared" si="96"/>
        <v>6718.46</v>
      </c>
      <c r="K190" s="35">
        <f>'1.06.'!M190</f>
        <v>5549.9570000000003</v>
      </c>
      <c r="L190" s="35">
        <v>1168.5029999999999</v>
      </c>
      <c r="M190" s="93">
        <f t="shared" si="67"/>
        <v>6718.46</v>
      </c>
      <c r="N190" s="93">
        <f t="shared" si="68"/>
        <v>5.5399999999999636</v>
      </c>
      <c r="O190" s="70">
        <f t="shared" si="84"/>
        <v>99.917608566329562</v>
      </c>
      <c r="P190" s="71">
        <f t="shared" si="75"/>
        <v>0</v>
      </c>
      <c r="Q190" s="35">
        <f t="shared" si="76"/>
        <v>5.5399999999999636</v>
      </c>
      <c r="R190" s="72">
        <v>1103749</v>
      </c>
      <c r="S190" s="72">
        <f t="shared" si="77"/>
        <v>8504.5400000000009</v>
      </c>
      <c r="T190" s="62">
        <f t="shared" si="80"/>
        <v>8504.5400000000009</v>
      </c>
    </row>
    <row r="191" spans="1:20" s="73" customFormat="1">
      <c r="A191" s="9"/>
      <c r="B191" s="15"/>
      <c r="C191" s="15"/>
      <c r="D191" s="16"/>
      <c r="E191" s="20">
        <v>141</v>
      </c>
      <c r="F191" s="136" t="s">
        <v>116</v>
      </c>
      <c r="G191" s="37">
        <f>170896-249-5095</f>
        <v>165552</v>
      </c>
      <c r="H191" s="37">
        <v>165552</v>
      </c>
      <c r="I191" s="37">
        <v>52751</v>
      </c>
      <c r="J191" s="75">
        <v>165551.82058999999</v>
      </c>
      <c r="K191" s="35">
        <f>'1.06.'!M191</f>
        <v>21751</v>
      </c>
      <c r="L191" s="35">
        <v>31000</v>
      </c>
      <c r="M191" s="93">
        <f t="shared" si="67"/>
        <v>52751</v>
      </c>
      <c r="N191" s="93">
        <f t="shared" si="68"/>
        <v>0</v>
      </c>
      <c r="O191" s="70">
        <f t="shared" si="84"/>
        <v>100</v>
      </c>
      <c r="P191" s="71">
        <f t="shared" si="75"/>
        <v>112800.82058999999</v>
      </c>
      <c r="Q191" s="35">
        <f t="shared" si="76"/>
        <v>0.17941000001155771</v>
      </c>
      <c r="R191" s="72">
        <v>1103750</v>
      </c>
      <c r="S191" s="72">
        <f t="shared" si="77"/>
        <v>112801</v>
      </c>
      <c r="T191" s="62">
        <f t="shared" si="80"/>
        <v>0.17941000001155771</v>
      </c>
    </row>
    <row r="192" spans="1:20" s="73" customFormat="1">
      <c r="A192" s="9"/>
      <c r="B192" s="15"/>
      <c r="C192" s="15"/>
      <c r="D192" s="16"/>
      <c r="E192" s="20">
        <v>142</v>
      </c>
      <c r="F192" s="5"/>
      <c r="G192" s="37">
        <v>5095</v>
      </c>
      <c r="H192" s="37">
        <v>5095</v>
      </c>
      <c r="I192" s="37">
        <v>3000</v>
      </c>
      <c r="J192" s="75">
        <v>3667.3297499999999</v>
      </c>
      <c r="K192" s="35">
        <f>'1.06.'!M192</f>
        <v>0</v>
      </c>
      <c r="L192" s="35">
        <v>981.18299999999999</v>
      </c>
      <c r="M192" s="93">
        <f t="shared" si="67"/>
        <v>981.18299999999999</v>
      </c>
      <c r="N192" s="93">
        <f t="shared" si="68"/>
        <v>2018.817</v>
      </c>
      <c r="O192" s="70">
        <f t="shared" si="84"/>
        <v>32.706099999999999</v>
      </c>
      <c r="P192" s="71">
        <f t="shared" si="75"/>
        <v>2686.1467499999999</v>
      </c>
      <c r="Q192" s="35">
        <f t="shared" si="76"/>
        <v>1427.6702500000001</v>
      </c>
      <c r="R192" s="72">
        <v>1103751</v>
      </c>
      <c r="S192" s="72">
        <f t="shared" si="77"/>
        <v>4113.817</v>
      </c>
      <c r="T192" s="62"/>
    </row>
    <row r="193" spans="1:20">
      <c r="A193" s="9"/>
      <c r="B193" s="15"/>
      <c r="C193" s="15"/>
      <c r="D193" s="16"/>
      <c r="E193" s="20">
        <v>144</v>
      </c>
      <c r="F193" s="136" t="s">
        <v>97</v>
      </c>
      <c r="G193" s="37">
        <v>4041</v>
      </c>
      <c r="H193" s="37">
        <v>2952</v>
      </c>
      <c r="I193" s="37">
        <v>2952</v>
      </c>
      <c r="J193" s="75">
        <f t="shared" ref="J193:J201" si="98">M193</f>
        <v>2951.8902699999999</v>
      </c>
      <c r="K193" s="35">
        <f>'1.06.'!M193</f>
        <v>2951.8902699999999</v>
      </c>
      <c r="L193" s="35"/>
      <c r="M193" s="93">
        <f t="shared" si="67"/>
        <v>2951.8902699999999</v>
      </c>
      <c r="N193" s="93">
        <f t="shared" si="68"/>
        <v>0.10973000000012689</v>
      </c>
      <c r="O193" s="70">
        <f t="shared" si="84"/>
        <v>99.99628285907859</v>
      </c>
      <c r="P193" s="71">
        <f t="shared" si="75"/>
        <v>0</v>
      </c>
      <c r="Q193" s="35">
        <f t="shared" si="76"/>
        <v>0.10973000000012689</v>
      </c>
      <c r="R193" s="72">
        <v>1103751</v>
      </c>
      <c r="S193" s="72">
        <f t="shared" si="77"/>
        <v>1089.1097300000001</v>
      </c>
      <c r="T193" s="62">
        <f t="shared" si="80"/>
        <v>1089.1097300000001</v>
      </c>
    </row>
    <row r="194" spans="1:20">
      <c r="A194" s="100"/>
      <c r="B194" s="15"/>
      <c r="C194" s="15"/>
      <c r="D194" s="16"/>
      <c r="E194" s="20">
        <v>149</v>
      </c>
      <c r="F194" s="136" t="s">
        <v>98</v>
      </c>
      <c r="G194" s="37">
        <f>3715-434-155</f>
        <v>3126</v>
      </c>
      <c r="H194" s="37">
        <v>2602</v>
      </c>
      <c r="I194" s="37">
        <v>2601.6</v>
      </c>
      <c r="J194" s="75">
        <v>2601.58</v>
      </c>
      <c r="K194" s="35">
        <f>'1.06.'!M194</f>
        <v>1265.46</v>
      </c>
      <c r="L194" s="35">
        <v>476.76</v>
      </c>
      <c r="M194" s="93">
        <f t="shared" si="67"/>
        <v>1742.22</v>
      </c>
      <c r="N194" s="93">
        <f t="shared" si="68"/>
        <v>859.37999999999988</v>
      </c>
      <c r="O194" s="70">
        <f t="shared" si="84"/>
        <v>66.967250922509223</v>
      </c>
      <c r="P194" s="71">
        <f t="shared" si="75"/>
        <v>859.3599999999999</v>
      </c>
      <c r="Q194" s="35">
        <f t="shared" si="76"/>
        <v>0.42000000000007276</v>
      </c>
      <c r="R194" s="72">
        <v>1103752</v>
      </c>
      <c r="S194" s="72">
        <f t="shared" si="77"/>
        <v>1383.78</v>
      </c>
      <c r="T194" s="62">
        <f t="shared" si="80"/>
        <v>524.42000000000007</v>
      </c>
    </row>
    <row r="195" spans="1:20">
      <c r="A195" s="100"/>
      <c r="B195" s="15"/>
      <c r="C195" s="15"/>
      <c r="D195" s="16"/>
      <c r="E195" s="20">
        <v>151</v>
      </c>
      <c r="F195" s="136" t="s">
        <v>99</v>
      </c>
      <c r="G195" s="37">
        <v>35085</v>
      </c>
      <c r="H195" s="37">
        <v>21200</v>
      </c>
      <c r="I195" s="37">
        <v>21200</v>
      </c>
      <c r="J195" s="75">
        <v>21200</v>
      </c>
      <c r="K195" s="35">
        <f>'1.06.'!M195</f>
        <v>18600</v>
      </c>
      <c r="L195" s="35">
        <v>2600</v>
      </c>
      <c r="M195" s="93">
        <f t="shared" ref="M195:M201" si="99">K195+L195</f>
        <v>21200</v>
      </c>
      <c r="N195" s="93">
        <f t="shared" ref="N195:N226" si="100">I195-M195</f>
        <v>0</v>
      </c>
      <c r="O195" s="70">
        <f t="shared" si="84"/>
        <v>100</v>
      </c>
      <c r="P195" s="71">
        <f t="shared" si="75"/>
        <v>0</v>
      </c>
      <c r="Q195" s="35">
        <f t="shared" si="76"/>
        <v>0</v>
      </c>
      <c r="R195" s="72">
        <v>1103753</v>
      </c>
      <c r="S195" s="72">
        <f t="shared" si="77"/>
        <v>13885</v>
      </c>
      <c r="T195" s="62">
        <f t="shared" si="80"/>
        <v>13885</v>
      </c>
    </row>
    <row r="196" spans="1:20">
      <c r="A196" s="100"/>
      <c r="B196" s="15"/>
      <c r="C196" s="15"/>
      <c r="D196" s="16"/>
      <c r="E196" s="20">
        <v>152</v>
      </c>
      <c r="F196" s="136" t="s">
        <v>100</v>
      </c>
      <c r="G196" s="37">
        <v>1374</v>
      </c>
      <c r="H196" s="37">
        <v>1374</v>
      </c>
      <c r="I196" s="37">
        <v>246</v>
      </c>
      <c r="J196" s="75">
        <v>1373.87772</v>
      </c>
      <c r="K196" s="35">
        <f>'1.06.'!M196</f>
        <v>171</v>
      </c>
      <c r="L196" s="35">
        <v>75</v>
      </c>
      <c r="M196" s="93">
        <f t="shared" si="99"/>
        <v>246</v>
      </c>
      <c r="N196" s="93">
        <f t="shared" si="100"/>
        <v>0</v>
      </c>
      <c r="O196" s="70">
        <f t="shared" si="84"/>
        <v>100</v>
      </c>
      <c r="P196" s="71">
        <f t="shared" si="75"/>
        <v>1127.87772</v>
      </c>
      <c r="Q196" s="35">
        <f t="shared" si="76"/>
        <v>0.12228000000004613</v>
      </c>
      <c r="R196" s="72">
        <v>1103754</v>
      </c>
      <c r="S196" s="72">
        <f t="shared" si="77"/>
        <v>1128</v>
      </c>
      <c r="T196" s="62">
        <f t="shared" si="80"/>
        <v>0.12228000000004613</v>
      </c>
    </row>
    <row r="197" spans="1:20" ht="25.5">
      <c r="A197" s="100"/>
      <c r="B197" s="15"/>
      <c r="C197" s="15"/>
      <c r="D197" s="16"/>
      <c r="E197" s="20">
        <v>158</v>
      </c>
      <c r="F197" s="136" t="s">
        <v>101</v>
      </c>
      <c r="G197" s="37">
        <f>730+2332</f>
        <v>3062</v>
      </c>
      <c r="H197" s="37">
        <v>3062</v>
      </c>
      <c r="I197" s="37">
        <v>1085.7</v>
      </c>
      <c r="J197" s="75">
        <v>1837.8155999999999</v>
      </c>
      <c r="K197" s="35">
        <f>'1.06.'!M197</f>
        <v>1021.2</v>
      </c>
      <c r="L197" s="35">
        <v>61</v>
      </c>
      <c r="M197" s="93">
        <f t="shared" si="99"/>
        <v>1082.2</v>
      </c>
      <c r="N197" s="93">
        <f t="shared" si="100"/>
        <v>3.5</v>
      </c>
      <c r="O197" s="70">
        <f t="shared" si="84"/>
        <v>99.677627337201798</v>
      </c>
      <c r="P197" s="71">
        <f t="shared" si="75"/>
        <v>755.61559999999986</v>
      </c>
      <c r="Q197" s="35">
        <f t="shared" si="76"/>
        <v>1224.1844000000001</v>
      </c>
      <c r="R197" s="72">
        <v>1103755</v>
      </c>
      <c r="S197" s="72">
        <f t="shared" si="77"/>
        <v>1979.8</v>
      </c>
      <c r="T197" s="62">
        <f t="shared" si="80"/>
        <v>1224.1844000000001</v>
      </c>
    </row>
    <row r="198" spans="1:20">
      <c r="A198" s="100"/>
      <c r="B198" s="15"/>
      <c r="C198" s="15"/>
      <c r="D198" s="16"/>
      <c r="E198" s="20">
        <v>159</v>
      </c>
      <c r="F198" s="136" t="s">
        <v>84</v>
      </c>
      <c r="G198" s="37">
        <f>7434-2332</f>
        <v>5102</v>
      </c>
      <c r="H198" s="37">
        <v>4034</v>
      </c>
      <c r="I198" s="37">
        <v>1029</v>
      </c>
      <c r="J198" s="75">
        <v>4033.65139</v>
      </c>
      <c r="K198" s="35">
        <f>'1.06.'!M198</f>
        <v>729</v>
      </c>
      <c r="L198" s="35">
        <v>300</v>
      </c>
      <c r="M198" s="93">
        <f t="shared" si="99"/>
        <v>1029</v>
      </c>
      <c r="N198" s="93">
        <f t="shared" si="100"/>
        <v>0</v>
      </c>
      <c r="O198" s="70">
        <f t="shared" si="84"/>
        <v>100</v>
      </c>
      <c r="P198" s="71">
        <f t="shared" si="75"/>
        <v>3004.65139</v>
      </c>
      <c r="Q198" s="35">
        <f t="shared" si="76"/>
        <v>0.34861000000000786</v>
      </c>
      <c r="R198" s="72">
        <v>1103756</v>
      </c>
      <c r="S198" s="72">
        <f t="shared" si="77"/>
        <v>4073</v>
      </c>
      <c r="T198" s="62">
        <f t="shared" si="80"/>
        <v>1068.34861</v>
      </c>
    </row>
    <row r="199" spans="1:20">
      <c r="A199" s="100"/>
      <c r="B199" s="15"/>
      <c r="C199" s="15"/>
      <c r="D199" s="16"/>
      <c r="E199" s="69">
        <v>161</v>
      </c>
      <c r="F199" s="136" t="s">
        <v>102</v>
      </c>
      <c r="G199" s="37">
        <f>58+77+270</f>
        <v>405</v>
      </c>
      <c r="H199" s="37">
        <v>405</v>
      </c>
      <c r="I199" s="37">
        <v>405</v>
      </c>
      <c r="J199" s="75">
        <f t="shared" si="98"/>
        <v>404.16</v>
      </c>
      <c r="K199" s="35">
        <f>'1.06.'!M199</f>
        <v>135</v>
      </c>
      <c r="L199" s="35">
        <v>269.16000000000003</v>
      </c>
      <c r="M199" s="93">
        <f t="shared" si="99"/>
        <v>404.16</v>
      </c>
      <c r="N199" s="93">
        <f t="shared" si="100"/>
        <v>0.83999999999997499</v>
      </c>
      <c r="O199" s="70">
        <f t="shared" si="84"/>
        <v>99.792592592592598</v>
      </c>
      <c r="P199" s="71">
        <f t="shared" si="75"/>
        <v>0</v>
      </c>
      <c r="Q199" s="35">
        <f t="shared" si="76"/>
        <v>0.83999999999997499</v>
      </c>
      <c r="R199" s="72">
        <v>1103757</v>
      </c>
      <c r="S199" s="72">
        <f t="shared" si="77"/>
        <v>0.83999999999997499</v>
      </c>
      <c r="T199" s="62">
        <f t="shared" si="80"/>
        <v>0.83999999999997499</v>
      </c>
    </row>
    <row r="200" spans="1:20">
      <c r="A200" s="100"/>
      <c r="B200" s="15"/>
      <c r="C200" s="15"/>
      <c r="D200" s="16"/>
      <c r="E200" s="69">
        <v>168</v>
      </c>
      <c r="F200" s="136" t="s">
        <v>103</v>
      </c>
      <c r="G200" s="37">
        <f>1+56</f>
        <v>57</v>
      </c>
      <c r="H200" s="37">
        <v>57</v>
      </c>
      <c r="I200" s="37">
        <v>57</v>
      </c>
      <c r="J200" s="75">
        <f t="shared" si="98"/>
        <v>56.037739999999999</v>
      </c>
      <c r="K200" s="35">
        <f>'1.06.'!M200</f>
        <v>3.7740000000000003E-2</v>
      </c>
      <c r="L200" s="35">
        <v>56</v>
      </c>
      <c r="M200" s="93">
        <f t="shared" si="99"/>
        <v>56.037739999999999</v>
      </c>
      <c r="N200" s="93">
        <f t="shared" si="100"/>
        <v>0.96226000000000056</v>
      </c>
      <c r="O200" s="70">
        <f t="shared" si="84"/>
        <v>98.311824561403512</v>
      </c>
      <c r="P200" s="71"/>
      <c r="Q200" s="35"/>
      <c r="R200" s="72"/>
      <c r="S200" s="72"/>
    </row>
    <row r="201" spans="1:20">
      <c r="A201" s="100"/>
      <c r="B201" s="15"/>
      <c r="C201" s="15"/>
      <c r="D201" s="16"/>
      <c r="E201" s="20">
        <v>169</v>
      </c>
      <c r="F201" s="5" t="s">
        <v>6</v>
      </c>
      <c r="G201" s="37">
        <f>652+400+154</f>
        <v>1206</v>
      </c>
      <c r="H201" s="37">
        <v>1190</v>
      </c>
      <c r="I201" s="37">
        <v>1190</v>
      </c>
      <c r="J201" s="75">
        <f t="shared" si="98"/>
        <v>1190</v>
      </c>
      <c r="K201" s="35">
        <f>'1.06.'!M201</f>
        <v>1190</v>
      </c>
      <c r="L201" s="35"/>
      <c r="M201" s="93">
        <f t="shared" si="99"/>
        <v>1190</v>
      </c>
      <c r="N201" s="93">
        <f t="shared" si="100"/>
        <v>0</v>
      </c>
      <c r="O201" s="70">
        <f t="shared" si="84"/>
        <v>100</v>
      </c>
      <c r="P201" s="71">
        <f t="shared" si="75"/>
        <v>0</v>
      </c>
      <c r="Q201" s="35">
        <f t="shared" si="76"/>
        <v>0</v>
      </c>
      <c r="R201" s="72">
        <v>1103758</v>
      </c>
      <c r="S201" s="72">
        <f t="shared" si="77"/>
        <v>16</v>
      </c>
      <c r="T201" s="62">
        <f t="shared" si="80"/>
        <v>16</v>
      </c>
    </row>
    <row r="202" spans="1:20" ht="25.5">
      <c r="A202" s="100"/>
      <c r="B202" s="15"/>
      <c r="C202" s="57" t="s">
        <v>43</v>
      </c>
      <c r="D202" s="16"/>
      <c r="E202" s="20"/>
      <c r="F202" s="139" t="s">
        <v>119</v>
      </c>
      <c r="G202" s="59">
        <f t="shared" ref="G202:N202" si="101">G203</f>
        <v>350929</v>
      </c>
      <c r="H202" s="59">
        <f t="shared" si="101"/>
        <v>350929</v>
      </c>
      <c r="I202" s="59">
        <f t="shared" si="101"/>
        <v>281697</v>
      </c>
      <c r="J202" s="29">
        <f t="shared" si="101"/>
        <v>350929</v>
      </c>
      <c r="K202" s="35">
        <f>'1.02.'!M188</f>
        <v>0</v>
      </c>
      <c r="L202" s="59">
        <f t="shared" si="101"/>
        <v>71313.506999999998</v>
      </c>
      <c r="M202" s="29">
        <f t="shared" si="101"/>
        <v>281696.27747999999</v>
      </c>
      <c r="N202" s="29">
        <f t="shared" si="101"/>
        <v>0.72252000001026317</v>
      </c>
      <c r="O202" s="70"/>
      <c r="P202" s="71">
        <f t="shared" si="75"/>
        <v>69232.72252000001</v>
      </c>
      <c r="Q202" s="35">
        <f t="shared" si="76"/>
        <v>0</v>
      </c>
      <c r="R202" s="72">
        <v>1103759</v>
      </c>
      <c r="S202" s="72">
        <f t="shared" si="77"/>
        <v>69232.72252000001</v>
      </c>
    </row>
    <row r="203" spans="1:20">
      <c r="A203" s="9"/>
      <c r="B203" s="12"/>
      <c r="C203" s="12"/>
      <c r="D203" s="11" t="s">
        <v>7</v>
      </c>
      <c r="E203" s="97"/>
      <c r="F203" s="122" t="s">
        <v>85</v>
      </c>
      <c r="G203" s="98">
        <f>G204+G205</f>
        <v>350929</v>
      </c>
      <c r="H203" s="98">
        <f t="shared" ref="H203:N203" si="102">H204+H205</f>
        <v>350929</v>
      </c>
      <c r="I203" s="98">
        <f t="shared" si="102"/>
        <v>281697</v>
      </c>
      <c r="J203" s="99">
        <f t="shared" si="102"/>
        <v>350929</v>
      </c>
      <c r="K203" s="35">
        <f>'1.02.'!M189</f>
        <v>0</v>
      </c>
      <c r="L203" s="98">
        <f t="shared" si="102"/>
        <v>71313.506999999998</v>
      </c>
      <c r="M203" s="32">
        <f t="shared" si="102"/>
        <v>281696.27747999999</v>
      </c>
      <c r="N203" s="32">
        <f t="shared" si="102"/>
        <v>0.72252000001026317</v>
      </c>
      <c r="O203" s="68">
        <f>M203/I203*100</f>
        <v>99.999743511645491</v>
      </c>
      <c r="P203" s="71">
        <f t="shared" si="75"/>
        <v>69232.72252000001</v>
      </c>
      <c r="Q203" s="35">
        <f t="shared" si="76"/>
        <v>0</v>
      </c>
      <c r="R203" s="72">
        <v>1103760</v>
      </c>
      <c r="S203" s="72">
        <f t="shared" si="77"/>
        <v>69232.72252000001</v>
      </c>
      <c r="T203" s="62">
        <f>G203-J203</f>
        <v>0</v>
      </c>
    </row>
    <row r="204" spans="1:20" ht="25.5">
      <c r="A204" s="100"/>
      <c r="B204" s="15"/>
      <c r="C204" s="15"/>
      <c r="D204" s="16"/>
      <c r="E204" s="20">
        <v>414</v>
      </c>
      <c r="F204" s="50" t="s">
        <v>105</v>
      </c>
      <c r="G204" s="37"/>
      <c r="H204" s="37"/>
      <c r="I204" s="37"/>
      <c r="J204" s="75">
        <f>M204</f>
        <v>0</v>
      </c>
      <c r="K204" s="35">
        <f>'1.06.'!M204</f>
        <v>0</v>
      </c>
      <c r="L204" s="35"/>
      <c r="M204" s="93">
        <f t="shared" ref="M204:M205" si="103">K204+L204</f>
        <v>0</v>
      </c>
      <c r="N204" s="93">
        <f t="shared" ref="N204:N205" si="104">I204-M204</f>
        <v>0</v>
      </c>
      <c r="O204" s="70" t="e">
        <f t="shared" ref="O204:O205" si="105">M204/I204*100</f>
        <v>#DIV/0!</v>
      </c>
      <c r="P204" s="71">
        <f t="shared" si="75"/>
        <v>0</v>
      </c>
      <c r="Q204" s="35">
        <f t="shared" si="76"/>
        <v>0</v>
      </c>
      <c r="R204" s="72">
        <v>1103761</v>
      </c>
      <c r="S204" s="72">
        <f t="shared" si="77"/>
        <v>0</v>
      </c>
    </row>
    <row r="205" spans="1:20" ht="25.5">
      <c r="A205" s="100"/>
      <c r="B205" s="15"/>
      <c r="C205" s="15"/>
      <c r="D205" s="16"/>
      <c r="E205" s="20">
        <v>421</v>
      </c>
      <c r="F205" s="136" t="s">
        <v>156</v>
      </c>
      <c r="G205" s="37">
        <v>350929</v>
      </c>
      <c r="H205" s="37">
        <v>350929</v>
      </c>
      <c r="I205" s="37">
        <v>281697</v>
      </c>
      <c r="J205" s="75">
        <v>350929</v>
      </c>
      <c r="K205" s="35">
        <f>'1.06.'!M205</f>
        <v>210382.77048000001</v>
      </c>
      <c r="L205" s="35">
        <v>71313.506999999998</v>
      </c>
      <c r="M205" s="93">
        <f t="shared" si="103"/>
        <v>281696.27747999999</v>
      </c>
      <c r="N205" s="93">
        <f t="shared" si="104"/>
        <v>0.72252000001026317</v>
      </c>
      <c r="O205" s="70">
        <f t="shared" si="105"/>
        <v>99.999743511645491</v>
      </c>
      <c r="P205" s="71">
        <f t="shared" si="75"/>
        <v>69232.72252000001</v>
      </c>
      <c r="Q205" s="35">
        <f t="shared" si="76"/>
        <v>0</v>
      </c>
      <c r="R205" s="72">
        <v>1103762</v>
      </c>
      <c r="S205" s="72">
        <f t="shared" si="77"/>
        <v>69232.72252000001</v>
      </c>
    </row>
    <row r="206" spans="1:20" s="126" customFormat="1">
      <c r="A206" s="100"/>
      <c r="B206" s="8" t="s">
        <v>20</v>
      </c>
      <c r="C206" s="8"/>
      <c r="D206" s="21"/>
      <c r="E206" s="21"/>
      <c r="F206" s="139" t="s">
        <v>125</v>
      </c>
      <c r="G206" s="59">
        <f>G207+G227</f>
        <v>636935</v>
      </c>
      <c r="H206" s="59">
        <f t="shared" ref="H206:N206" si="106">H207+H227</f>
        <v>339060.8</v>
      </c>
      <c r="I206" s="59">
        <f t="shared" si="106"/>
        <v>266367.5</v>
      </c>
      <c r="J206" s="29">
        <f t="shared" si="106"/>
        <v>332162.13436999999</v>
      </c>
      <c r="K206" s="29">
        <f t="shared" si="106"/>
        <v>208922.05780000001</v>
      </c>
      <c r="L206" s="59">
        <f t="shared" si="106"/>
        <v>54815.695979999997</v>
      </c>
      <c r="M206" s="29">
        <f t="shared" si="106"/>
        <v>263737.75377999997</v>
      </c>
      <c r="N206" s="29">
        <f t="shared" si="106"/>
        <v>2629.7462200000018</v>
      </c>
      <c r="O206" s="68">
        <f t="shared" si="84"/>
        <v>99.012737582475324</v>
      </c>
      <c r="P206" s="71">
        <f t="shared" si="75"/>
        <v>68424.380590000015</v>
      </c>
      <c r="Q206" s="35">
        <f t="shared" si="76"/>
        <v>6898.6656300000031</v>
      </c>
      <c r="R206" s="72">
        <v>1103763</v>
      </c>
      <c r="S206" s="72">
        <f t="shared" si="77"/>
        <v>373197.24622000003</v>
      </c>
      <c r="T206" s="87">
        <f>G206-J206</f>
        <v>304772.86563000001</v>
      </c>
    </row>
    <row r="207" spans="1:20" s="95" customFormat="1" ht="63.75">
      <c r="A207" s="100"/>
      <c r="B207" s="8"/>
      <c r="C207" s="17" t="s">
        <v>23</v>
      </c>
      <c r="D207" s="17"/>
      <c r="E207" s="21"/>
      <c r="F207" s="139" t="s">
        <v>124</v>
      </c>
      <c r="G207" s="59">
        <f>G208</f>
        <v>636935</v>
      </c>
      <c r="H207" s="59">
        <f t="shared" ref="H207:N207" si="107">H208</f>
        <v>339060.8</v>
      </c>
      <c r="I207" s="59">
        <f t="shared" si="107"/>
        <v>266367.5</v>
      </c>
      <c r="J207" s="59">
        <f t="shared" si="107"/>
        <v>332162.13436999999</v>
      </c>
      <c r="K207" s="29">
        <f t="shared" si="107"/>
        <v>208922.05780000001</v>
      </c>
      <c r="L207" s="59">
        <f t="shared" si="107"/>
        <v>54815.695979999997</v>
      </c>
      <c r="M207" s="29">
        <f t="shared" si="107"/>
        <v>263737.75377999997</v>
      </c>
      <c r="N207" s="29">
        <f t="shared" si="107"/>
        <v>2629.7462200000018</v>
      </c>
      <c r="O207" s="68">
        <f t="shared" si="84"/>
        <v>99.012737582475324</v>
      </c>
      <c r="P207" s="71">
        <f t="shared" si="75"/>
        <v>68424.380590000015</v>
      </c>
      <c r="Q207" s="35">
        <f t="shared" si="76"/>
        <v>6898.6656300000031</v>
      </c>
      <c r="R207" s="72">
        <v>1103764</v>
      </c>
      <c r="S207" s="72">
        <f t="shared" si="77"/>
        <v>373197.24622000003</v>
      </c>
      <c r="T207" s="62">
        <f t="shared" si="80"/>
        <v>304772.86563000001</v>
      </c>
    </row>
    <row r="208" spans="1:20">
      <c r="A208" s="100"/>
      <c r="B208" s="8"/>
      <c r="C208" s="17"/>
      <c r="D208" s="17" t="s">
        <v>7</v>
      </c>
      <c r="E208" s="10"/>
      <c r="F208" s="140" t="s">
        <v>85</v>
      </c>
      <c r="G208" s="59">
        <f>SUM(G209:G226)</f>
        <v>636935</v>
      </c>
      <c r="H208" s="59">
        <f>SUM(H209:H226)</f>
        <v>339060.8</v>
      </c>
      <c r="I208" s="59">
        <f>SUM(I209:I226)</f>
        <v>266367.5</v>
      </c>
      <c r="J208" s="29">
        <f>SUM(J209:J226)</f>
        <v>332162.13436999999</v>
      </c>
      <c r="K208" s="29">
        <f>SUM(K209:K226)</f>
        <v>208922.05780000001</v>
      </c>
      <c r="L208" s="29">
        <f t="shared" ref="L208:N208" si="108">SUM(L209:L226)</f>
        <v>54815.695979999997</v>
      </c>
      <c r="M208" s="29">
        <f>SUM(M209:M226)</f>
        <v>263737.75377999997</v>
      </c>
      <c r="N208" s="29">
        <f t="shared" si="108"/>
        <v>2629.7462200000018</v>
      </c>
      <c r="O208" s="68">
        <f>M208/I208*100</f>
        <v>99.012737582475324</v>
      </c>
      <c r="P208" s="71">
        <f t="shared" si="75"/>
        <v>68424.380590000015</v>
      </c>
      <c r="Q208" s="35">
        <f t="shared" si="76"/>
        <v>6898.6656300000031</v>
      </c>
      <c r="R208" s="72">
        <v>1103765</v>
      </c>
      <c r="S208" s="72">
        <f t="shared" si="77"/>
        <v>373197.24622000003</v>
      </c>
      <c r="T208" s="62">
        <f t="shared" si="80"/>
        <v>304772.86563000001</v>
      </c>
    </row>
    <row r="209" spans="1:20">
      <c r="A209" s="100"/>
      <c r="B209" s="9"/>
      <c r="C209" s="9"/>
      <c r="D209" s="69"/>
      <c r="E209" s="69">
        <v>111</v>
      </c>
      <c r="F209" s="136" t="s">
        <v>86</v>
      </c>
      <c r="G209" s="26">
        <f>367447-355</f>
        <v>367092</v>
      </c>
      <c r="H209" s="26">
        <v>183508</v>
      </c>
      <c r="I209" s="26">
        <v>183508</v>
      </c>
      <c r="J209" s="27">
        <f>M209</f>
        <v>183508</v>
      </c>
      <c r="K209" s="35">
        <f>'1.06.'!M209</f>
        <v>151955</v>
      </c>
      <c r="L209" s="27">
        <v>31553</v>
      </c>
      <c r="M209" s="93">
        <f>K209+L209</f>
        <v>183508</v>
      </c>
      <c r="N209" s="93">
        <f t="shared" si="100"/>
        <v>0</v>
      </c>
      <c r="O209" s="70">
        <f t="shared" si="84"/>
        <v>100</v>
      </c>
      <c r="P209" s="71">
        <f t="shared" si="75"/>
        <v>0</v>
      </c>
      <c r="Q209" s="35">
        <f t="shared" si="76"/>
        <v>0</v>
      </c>
      <c r="R209" s="72">
        <v>1103766</v>
      </c>
      <c r="S209" s="72">
        <f t="shared" si="77"/>
        <v>183584</v>
      </c>
      <c r="T209" s="62">
        <f t="shared" si="80"/>
        <v>183584</v>
      </c>
    </row>
    <row r="210" spans="1:20">
      <c r="A210" s="100"/>
      <c r="B210" s="9"/>
      <c r="C210" s="9"/>
      <c r="D210" s="69"/>
      <c r="E210" s="69">
        <v>112</v>
      </c>
      <c r="F210" s="136" t="s">
        <v>87</v>
      </c>
      <c r="G210" s="26">
        <v>355</v>
      </c>
      <c r="H210" s="26">
        <v>355</v>
      </c>
      <c r="I210" s="26">
        <v>355</v>
      </c>
      <c r="J210" s="27">
        <f t="shared" ref="J210:J226" si="109">M210</f>
        <v>353.988</v>
      </c>
      <c r="K210" s="35">
        <f>'1.06.'!M210</f>
        <v>0</v>
      </c>
      <c r="L210" s="27">
        <v>353.988</v>
      </c>
      <c r="M210" s="93">
        <f>K210+L210</f>
        <v>353.988</v>
      </c>
      <c r="N210" s="93">
        <f t="shared" si="100"/>
        <v>1.0120000000000005</v>
      </c>
      <c r="O210" s="70">
        <f t="shared" si="84"/>
        <v>99.714929577464787</v>
      </c>
      <c r="P210" s="71">
        <f t="shared" si="75"/>
        <v>0</v>
      </c>
      <c r="Q210" s="35">
        <f t="shared" si="76"/>
        <v>1.0120000000000005</v>
      </c>
      <c r="R210" s="72">
        <v>1103767</v>
      </c>
      <c r="S210" s="72">
        <f t="shared" si="77"/>
        <v>1.0120000000000005</v>
      </c>
    </row>
    <row r="211" spans="1:20">
      <c r="A211" s="100"/>
      <c r="B211" s="9"/>
      <c r="C211" s="9"/>
      <c r="D211" s="69"/>
      <c r="E211" s="76">
        <v>113</v>
      </c>
      <c r="F211" s="136" t="s">
        <v>88</v>
      </c>
      <c r="G211" s="26">
        <v>11349</v>
      </c>
      <c r="H211" s="26">
        <v>3384</v>
      </c>
      <c r="I211" s="26">
        <v>3384</v>
      </c>
      <c r="J211" s="27">
        <f t="shared" si="109"/>
        <v>3383.99</v>
      </c>
      <c r="K211" s="35">
        <f>'1.06.'!M211</f>
        <v>2489</v>
      </c>
      <c r="L211" s="27">
        <v>894.99</v>
      </c>
      <c r="M211" s="93">
        <f t="shared" ref="M211:M226" si="110">K211+L211</f>
        <v>3383.99</v>
      </c>
      <c r="N211" s="93">
        <f>I211-M211</f>
        <v>1.0000000000218279E-2</v>
      </c>
      <c r="O211" s="70">
        <f>M211/I211*100</f>
        <v>99.999704491725765</v>
      </c>
      <c r="P211" s="71">
        <f t="shared" si="75"/>
        <v>0</v>
      </c>
      <c r="Q211" s="35">
        <f t="shared" si="76"/>
        <v>1.0000000000218279E-2</v>
      </c>
      <c r="R211" s="72">
        <v>1103768</v>
      </c>
      <c r="S211" s="72">
        <f t="shared" si="77"/>
        <v>7965.01</v>
      </c>
      <c r="T211" s="62">
        <f t="shared" si="80"/>
        <v>7965.01</v>
      </c>
    </row>
    <row r="212" spans="1:20">
      <c r="A212" s="100"/>
      <c r="B212" s="9"/>
      <c r="C212" s="9"/>
      <c r="D212" s="69"/>
      <c r="E212" s="69">
        <v>116</v>
      </c>
      <c r="F212" s="136" t="s">
        <v>89</v>
      </c>
      <c r="G212" s="26">
        <v>11283</v>
      </c>
      <c r="H212" s="26">
        <v>4338</v>
      </c>
      <c r="I212" s="26">
        <v>4338</v>
      </c>
      <c r="J212" s="27">
        <f t="shared" si="109"/>
        <v>4338</v>
      </c>
      <c r="K212" s="35">
        <f>'1.06.'!M212</f>
        <v>3645</v>
      </c>
      <c r="L212" s="27">
        <v>693</v>
      </c>
      <c r="M212" s="93">
        <f t="shared" si="110"/>
        <v>4338</v>
      </c>
      <c r="N212" s="93">
        <f>I212-M212</f>
        <v>0</v>
      </c>
      <c r="O212" s="70">
        <f>M212/I212*100</f>
        <v>100</v>
      </c>
      <c r="P212" s="71">
        <f t="shared" si="75"/>
        <v>0</v>
      </c>
      <c r="Q212" s="35">
        <f t="shared" si="76"/>
        <v>0</v>
      </c>
      <c r="R212" s="72">
        <v>1103769</v>
      </c>
      <c r="S212" s="72">
        <f t="shared" si="77"/>
        <v>6945</v>
      </c>
    </row>
    <row r="213" spans="1:20">
      <c r="A213" s="100"/>
      <c r="B213" s="9"/>
      <c r="C213" s="9"/>
      <c r="D213" s="69"/>
      <c r="E213" s="69">
        <v>121</v>
      </c>
      <c r="F213" s="136" t="s">
        <v>90</v>
      </c>
      <c r="G213" s="26">
        <v>19034</v>
      </c>
      <c r="H213" s="26">
        <v>9624</v>
      </c>
      <c r="I213" s="26">
        <v>9624</v>
      </c>
      <c r="J213" s="27">
        <f t="shared" si="109"/>
        <v>9624</v>
      </c>
      <c r="K213" s="35">
        <f>'1.06.'!M213</f>
        <v>8020</v>
      </c>
      <c r="L213" s="27">
        <v>1604</v>
      </c>
      <c r="M213" s="93">
        <f t="shared" si="110"/>
        <v>9624</v>
      </c>
      <c r="N213" s="93">
        <f t="shared" si="100"/>
        <v>0</v>
      </c>
      <c r="O213" s="70">
        <f t="shared" si="84"/>
        <v>100</v>
      </c>
      <c r="P213" s="71">
        <f t="shared" si="75"/>
        <v>0</v>
      </c>
      <c r="Q213" s="35">
        <f t="shared" si="76"/>
        <v>0</v>
      </c>
      <c r="R213" s="72">
        <v>1103770</v>
      </c>
      <c r="S213" s="72">
        <f t="shared" si="77"/>
        <v>9410</v>
      </c>
      <c r="T213" s="62">
        <f t="shared" si="80"/>
        <v>9410</v>
      </c>
    </row>
    <row r="214" spans="1:20">
      <c r="A214" s="100"/>
      <c r="B214" s="9"/>
      <c r="C214" s="9"/>
      <c r="D214" s="69"/>
      <c r="E214" s="69">
        <v>122</v>
      </c>
      <c r="F214" s="136" t="s">
        <v>91</v>
      </c>
      <c r="G214" s="26">
        <v>16535</v>
      </c>
      <c r="H214" s="26">
        <v>8208</v>
      </c>
      <c r="I214" s="26">
        <v>8208</v>
      </c>
      <c r="J214" s="27">
        <f t="shared" si="109"/>
        <v>8057.4400000000005</v>
      </c>
      <c r="K214" s="35">
        <f>'1.06.'!M214</f>
        <v>6825.2060000000001</v>
      </c>
      <c r="L214" s="27">
        <v>1232.2339999999999</v>
      </c>
      <c r="M214" s="93">
        <f t="shared" si="110"/>
        <v>8057.4400000000005</v>
      </c>
      <c r="N214" s="93">
        <f t="shared" si="100"/>
        <v>150.55999999999949</v>
      </c>
      <c r="O214" s="70">
        <f t="shared" si="84"/>
        <v>98.165692007797276</v>
      </c>
      <c r="P214" s="71">
        <f t="shared" si="75"/>
        <v>0</v>
      </c>
      <c r="Q214" s="35">
        <f t="shared" si="76"/>
        <v>150.55999999999949</v>
      </c>
      <c r="R214" s="72">
        <v>1103771</v>
      </c>
      <c r="S214" s="72">
        <f t="shared" si="77"/>
        <v>8477.56</v>
      </c>
      <c r="T214" s="62">
        <f t="shared" si="80"/>
        <v>8477.56</v>
      </c>
    </row>
    <row r="215" spans="1:20">
      <c r="A215" s="100"/>
      <c r="B215" s="9"/>
      <c r="C215" s="9"/>
      <c r="D215" s="69"/>
      <c r="E215" s="69">
        <v>123</v>
      </c>
      <c r="F215" s="136" t="s">
        <v>92</v>
      </c>
      <c r="G215" s="26">
        <v>532</v>
      </c>
      <c r="H215" s="26">
        <v>496</v>
      </c>
      <c r="I215" s="26">
        <v>496</v>
      </c>
      <c r="J215" s="27">
        <f t="shared" si="109"/>
        <v>77.43374</v>
      </c>
      <c r="K215" s="35">
        <f>'1.06.'!M215</f>
        <v>77.43374</v>
      </c>
      <c r="L215" s="27"/>
      <c r="M215" s="93">
        <f t="shared" si="110"/>
        <v>77.43374</v>
      </c>
      <c r="N215" s="93">
        <f t="shared" si="100"/>
        <v>418.56626</v>
      </c>
      <c r="O215" s="70">
        <f>M215/I215*100</f>
        <v>15.611641129032257</v>
      </c>
      <c r="P215" s="71">
        <f t="shared" si="75"/>
        <v>0</v>
      </c>
      <c r="Q215" s="35">
        <f t="shared" si="76"/>
        <v>418.56626</v>
      </c>
      <c r="R215" s="72">
        <v>1103772</v>
      </c>
      <c r="S215" s="72">
        <f t="shared" si="77"/>
        <v>454.56626</v>
      </c>
      <c r="T215" s="62">
        <f t="shared" si="80"/>
        <v>454.56626</v>
      </c>
    </row>
    <row r="216" spans="1:20">
      <c r="A216" s="100"/>
      <c r="B216" s="9"/>
      <c r="C216" s="9"/>
      <c r="D216" s="69"/>
      <c r="E216" s="69">
        <v>124</v>
      </c>
      <c r="F216" s="136" t="s">
        <v>93</v>
      </c>
      <c r="G216" s="26">
        <v>11023</v>
      </c>
      <c r="H216" s="26">
        <v>4176</v>
      </c>
      <c r="I216" s="26">
        <v>4176</v>
      </c>
      <c r="J216" s="27">
        <f t="shared" si="109"/>
        <v>3850.1869999999999</v>
      </c>
      <c r="K216" s="35">
        <f>'1.06.'!M216</f>
        <v>3135.7930000000001</v>
      </c>
      <c r="L216" s="27">
        <v>714.39400000000001</v>
      </c>
      <c r="M216" s="93">
        <f t="shared" si="110"/>
        <v>3850.1869999999999</v>
      </c>
      <c r="N216" s="93">
        <f t="shared" si="100"/>
        <v>325.8130000000001</v>
      </c>
      <c r="O216" s="70">
        <f t="shared" si="84"/>
        <v>92.197964559386975</v>
      </c>
      <c r="P216" s="71">
        <f t="shared" ref="P216:P284" si="111">J216-M216</f>
        <v>0</v>
      </c>
      <c r="Q216" s="35">
        <f t="shared" ref="Q216:Q284" si="112">H216-J216</f>
        <v>325.8130000000001</v>
      </c>
      <c r="R216" s="72">
        <v>1103773</v>
      </c>
      <c r="S216" s="72">
        <f t="shared" ref="S216:S284" si="113">G216-M216</f>
        <v>7172.8130000000001</v>
      </c>
      <c r="T216" s="62">
        <f t="shared" si="80"/>
        <v>7172.8130000000001</v>
      </c>
    </row>
    <row r="217" spans="1:20">
      <c r="A217" s="100"/>
      <c r="B217" s="9"/>
      <c r="C217" s="9"/>
      <c r="D217" s="69"/>
      <c r="E217" s="69">
        <v>141</v>
      </c>
      <c r="F217" s="136" t="s">
        <v>116</v>
      </c>
      <c r="G217" s="26">
        <v>103078</v>
      </c>
      <c r="H217" s="26">
        <v>80711.199999999997</v>
      </c>
      <c r="I217" s="26">
        <v>16158</v>
      </c>
      <c r="J217" s="27">
        <v>80711.125</v>
      </c>
      <c r="K217" s="35">
        <f>'1.06.'!M217</f>
        <v>3148.5949999999998</v>
      </c>
      <c r="L217" s="27">
        <v>13009.405000000001</v>
      </c>
      <c r="M217" s="93">
        <f t="shared" si="110"/>
        <v>16158</v>
      </c>
      <c r="N217" s="93">
        <f t="shared" si="100"/>
        <v>0</v>
      </c>
      <c r="O217" s="70">
        <f t="shared" si="84"/>
        <v>100</v>
      </c>
      <c r="P217" s="71">
        <f t="shared" si="111"/>
        <v>64553.125</v>
      </c>
      <c r="Q217" s="35">
        <f t="shared" si="112"/>
        <v>7.4999999997089617E-2</v>
      </c>
      <c r="R217" s="72">
        <v>1103774</v>
      </c>
      <c r="S217" s="72">
        <f t="shared" si="113"/>
        <v>86920</v>
      </c>
      <c r="T217" s="62">
        <f t="shared" si="80"/>
        <v>22366.875</v>
      </c>
    </row>
    <row r="218" spans="1:20" s="73" customFormat="1">
      <c r="A218" s="100"/>
      <c r="B218" s="9"/>
      <c r="C218" s="9"/>
      <c r="D218" s="69"/>
      <c r="E218" s="69">
        <v>142</v>
      </c>
      <c r="F218" s="136" t="s">
        <v>97</v>
      </c>
      <c r="G218" s="26">
        <f>26237-10823</f>
        <v>15414</v>
      </c>
      <c r="H218" s="26">
        <v>2560.1</v>
      </c>
      <c r="I218" s="26">
        <v>2446.1</v>
      </c>
      <c r="J218" s="27">
        <v>2445.0376999999999</v>
      </c>
      <c r="K218" s="35">
        <f>'1.06.'!M218</f>
        <v>2154.6495</v>
      </c>
      <c r="L218" s="27">
        <v>290.38819999999998</v>
      </c>
      <c r="M218" s="93">
        <f t="shared" si="110"/>
        <v>2445.0376999999999</v>
      </c>
      <c r="N218" s="93">
        <f t="shared" si="100"/>
        <v>1.0623000000000502</v>
      </c>
      <c r="O218" s="70">
        <f t="shared" si="84"/>
        <v>99.95657168554024</v>
      </c>
      <c r="P218" s="71">
        <f t="shared" si="111"/>
        <v>0</v>
      </c>
      <c r="Q218" s="35">
        <f t="shared" si="112"/>
        <v>115.06230000000005</v>
      </c>
      <c r="R218" s="72">
        <v>1103775</v>
      </c>
      <c r="S218" s="72">
        <f t="shared" si="113"/>
        <v>12968.962299999999</v>
      </c>
      <c r="T218" s="62">
        <f t="shared" si="80"/>
        <v>12968.962299999999</v>
      </c>
    </row>
    <row r="219" spans="1:20">
      <c r="A219" s="100"/>
      <c r="B219" s="9"/>
      <c r="C219" s="9"/>
      <c r="D219" s="69"/>
      <c r="E219" s="69">
        <v>144</v>
      </c>
      <c r="F219" s="136" t="s">
        <v>98</v>
      </c>
      <c r="G219" s="26">
        <v>3824</v>
      </c>
      <c r="H219" s="26">
        <v>3824</v>
      </c>
      <c r="I219" s="26">
        <v>1302.5</v>
      </c>
      <c r="J219" s="27">
        <f>M219</f>
        <v>1301.8479</v>
      </c>
      <c r="K219" s="35">
        <f>'1.06.'!M219</f>
        <v>1092.4529</v>
      </c>
      <c r="L219" s="27">
        <v>209.39500000000001</v>
      </c>
      <c r="M219" s="93">
        <f t="shared" si="110"/>
        <v>1301.8479</v>
      </c>
      <c r="N219" s="93">
        <f t="shared" si="100"/>
        <v>0.65210000000001855</v>
      </c>
      <c r="O219" s="70">
        <f t="shared" si="84"/>
        <v>99.949934740882924</v>
      </c>
      <c r="P219" s="71">
        <f t="shared" si="111"/>
        <v>0</v>
      </c>
      <c r="Q219" s="35">
        <f t="shared" si="112"/>
        <v>2522.1521000000002</v>
      </c>
      <c r="R219" s="72">
        <v>1103776</v>
      </c>
      <c r="S219" s="72">
        <f t="shared" si="113"/>
        <v>2522.1521000000002</v>
      </c>
      <c r="T219" s="62">
        <f t="shared" si="80"/>
        <v>2522.1521000000002</v>
      </c>
    </row>
    <row r="220" spans="1:20">
      <c r="A220" s="100"/>
      <c r="B220" s="9"/>
      <c r="C220" s="9"/>
      <c r="D220" s="69"/>
      <c r="E220" s="69">
        <v>149</v>
      </c>
      <c r="F220" s="136" t="s">
        <v>99</v>
      </c>
      <c r="G220" s="26">
        <v>9021</v>
      </c>
      <c r="H220" s="26">
        <v>5555</v>
      </c>
      <c r="I220" s="26">
        <v>5554.5</v>
      </c>
      <c r="J220" s="27">
        <f t="shared" si="109"/>
        <v>5329.4156599999997</v>
      </c>
      <c r="K220" s="35">
        <f>'1.06.'!M220</f>
        <v>5314.0020599999998</v>
      </c>
      <c r="L220" s="27">
        <v>15.413600000000001</v>
      </c>
      <c r="M220" s="93">
        <f t="shared" si="110"/>
        <v>5329.4156599999997</v>
      </c>
      <c r="N220" s="93">
        <f t="shared" si="100"/>
        <v>225.08434000000034</v>
      </c>
      <c r="O220" s="70">
        <f t="shared" si="84"/>
        <v>95.947711945269603</v>
      </c>
      <c r="P220" s="71">
        <f t="shared" si="111"/>
        <v>0</v>
      </c>
      <c r="Q220" s="35">
        <f t="shared" si="112"/>
        <v>225.58434000000034</v>
      </c>
      <c r="R220" s="72">
        <v>1103777</v>
      </c>
      <c r="S220" s="72">
        <f t="shared" si="113"/>
        <v>3691.5843400000003</v>
      </c>
      <c r="T220" s="62">
        <f t="shared" si="80"/>
        <v>3691.5843400000003</v>
      </c>
    </row>
    <row r="221" spans="1:20">
      <c r="A221" s="100"/>
      <c r="B221" s="9"/>
      <c r="C221" s="9"/>
      <c r="D221" s="69"/>
      <c r="E221" s="69">
        <v>151</v>
      </c>
      <c r="F221" s="136" t="s">
        <v>100</v>
      </c>
      <c r="G221" s="26">
        <v>33050</v>
      </c>
      <c r="H221" s="26">
        <v>16801</v>
      </c>
      <c r="I221" s="26">
        <v>16801</v>
      </c>
      <c r="J221" s="27">
        <f t="shared" si="109"/>
        <v>16659.571909999999</v>
      </c>
      <c r="K221" s="35">
        <f>'1.06.'!M221</f>
        <v>13990.679620000001</v>
      </c>
      <c r="L221" s="27">
        <v>2668.8922899999998</v>
      </c>
      <c r="M221" s="93">
        <f t="shared" si="110"/>
        <v>16659.571909999999</v>
      </c>
      <c r="N221" s="93">
        <f t="shared" si="100"/>
        <v>141.42809000000125</v>
      </c>
      <c r="O221" s="70">
        <f t="shared" si="84"/>
        <v>99.158216237128741</v>
      </c>
      <c r="P221" s="71">
        <f t="shared" si="111"/>
        <v>0</v>
      </c>
      <c r="Q221" s="35">
        <f t="shared" si="112"/>
        <v>141.42809000000125</v>
      </c>
      <c r="R221" s="72">
        <v>1103778</v>
      </c>
      <c r="S221" s="72">
        <f t="shared" si="113"/>
        <v>16390.428090000001</v>
      </c>
      <c r="T221" s="62">
        <f t="shared" si="80"/>
        <v>16390.428090000001</v>
      </c>
    </row>
    <row r="222" spans="1:20" ht="25.5">
      <c r="A222" s="100"/>
      <c r="B222" s="9"/>
      <c r="C222" s="9"/>
      <c r="D222" s="69"/>
      <c r="E222" s="69">
        <v>152</v>
      </c>
      <c r="F222" s="136" t="s">
        <v>101</v>
      </c>
      <c r="G222" s="26">
        <v>3322</v>
      </c>
      <c r="H222" s="26">
        <v>3322</v>
      </c>
      <c r="I222" s="26">
        <v>554</v>
      </c>
      <c r="J222" s="27">
        <v>1939.52</v>
      </c>
      <c r="K222" s="35">
        <f>'1.06.'!M222</f>
        <v>0</v>
      </c>
      <c r="L222" s="27">
        <v>480.97771999999998</v>
      </c>
      <c r="M222" s="93">
        <f t="shared" si="110"/>
        <v>480.97771999999998</v>
      </c>
      <c r="N222" s="93">
        <f t="shared" si="100"/>
        <v>73.022280000000023</v>
      </c>
      <c r="O222" s="70">
        <f t="shared" si="84"/>
        <v>86.81908303249098</v>
      </c>
      <c r="P222" s="71">
        <f t="shared" si="111"/>
        <v>1458.5422800000001</v>
      </c>
      <c r="Q222" s="35">
        <f t="shared" si="112"/>
        <v>1382.48</v>
      </c>
      <c r="R222" s="72">
        <v>1103779</v>
      </c>
      <c r="S222" s="72">
        <f t="shared" si="113"/>
        <v>2841.0222800000001</v>
      </c>
      <c r="T222" s="62">
        <f t="shared" si="80"/>
        <v>1382.48</v>
      </c>
    </row>
    <row r="223" spans="1:20">
      <c r="A223" s="100"/>
      <c r="B223" s="9"/>
      <c r="C223" s="9"/>
      <c r="D223" s="69"/>
      <c r="E223" s="69">
        <v>158</v>
      </c>
      <c r="F223" s="136" t="s">
        <v>84</v>
      </c>
      <c r="G223" s="26">
        <v>2290</v>
      </c>
      <c r="H223" s="26">
        <v>2290</v>
      </c>
      <c r="I223" s="26">
        <v>596.9</v>
      </c>
      <c r="J223" s="27">
        <v>1993.24</v>
      </c>
      <c r="K223" s="35">
        <f>'1.06.'!M223</f>
        <v>473.68000000000006</v>
      </c>
      <c r="L223" s="27">
        <v>123.22</v>
      </c>
      <c r="M223" s="93">
        <f t="shared" si="110"/>
        <v>596.90000000000009</v>
      </c>
      <c r="N223" s="93">
        <f t="shared" si="100"/>
        <v>0</v>
      </c>
      <c r="O223" s="70">
        <f t="shared" si="84"/>
        <v>100.00000000000003</v>
      </c>
      <c r="P223" s="71">
        <f t="shared" si="111"/>
        <v>1396.34</v>
      </c>
      <c r="Q223" s="35">
        <f t="shared" si="112"/>
        <v>296.76</v>
      </c>
      <c r="R223" s="72">
        <v>1103780</v>
      </c>
      <c r="S223" s="72">
        <f t="shared" si="113"/>
        <v>1693.1</v>
      </c>
      <c r="T223" s="62">
        <f t="shared" si="80"/>
        <v>296.76</v>
      </c>
    </row>
    <row r="224" spans="1:20">
      <c r="A224" s="100"/>
      <c r="B224" s="9"/>
      <c r="C224" s="9"/>
      <c r="D224" s="69"/>
      <c r="E224" s="69">
        <v>159</v>
      </c>
      <c r="F224" s="136" t="s">
        <v>102</v>
      </c>
      <c r="G224" s="26">
        <f>16176-1560+10823</f>
        <v>25439</v>
      </c>
      <c r="H224" s="26">
        <v>7103</v>
      </c>
      <c r="I224" s="26">
        <v>6060</v>
      </c>
      <c r="J224" s="27">
        <v>5783.8374599999997</v>
      </c>
      <c r="K224" s="35">
        <f>'1.06.'!M224</f>
        <v>4346.0659799999994</v>
      </c>
      <c r="L224" s="27">
        <v>421.39816999999999</v>
      </c>
      <c r="M224" s="93">
        <f t="shared" si="110"/>
        <v>4767.4641499999998</v>
      </c>
      <c r="N224" s="93">
        <f t="shared" si="100"/>
        <v>1292.5358500000002</v>
      </c>
      <c r="O224" s="70">
        <f t="shared" si="84"/>
        <v>78.671025577557756</v>
      </c>
      <c r="P224" s="71">
        <f t="shared" si="111"/>
        <v>1016.3733099999999</v>
      </c>
      <c r="Q224" s="35">
        <f t="shared" si="112"/>
        <v>1319.1625400000003</v>
      </c>
      <c r="R224" s="72">
        <v>1103781</v>
      </c>
      <c r="S224" s="72">
        <f t="shared" si="113"/>
        <v>20671.53585</v>
      </c>
      <c r="T224" s="62">
        <f t="shared" si="80"/>
        <v>19655.162540000001</v>
      </c>
    </row>
    <row r="225" spans="1:20">
      <c r="A225" s="100"/>
      <c r="B225" s="9"/>
      <c r="C225" s="9"/>
      <c r="D225" s="69"/>
      <c r="E225" s="69">
        <v>161</v>
      </c>
      <c r="F225" s="136" t="s">
        <v>103</v>
      </c>
      <c r="G225" s="26">
        <v>4231</v>
      </c>
      <c r="H225" s="26">
        <v>2805.5</v>
      </c>
      <c r="I225" s="26">
        <v>2805.5</v>
      </c>
      <c r="J225" s="27">
        <f t="shared" si="109"/>
        <v>2805.5</v>
      </c>
      <c r="K225" s="35">
        <f>'1.06.'!M225</f>
        <v>2254.5</v>
      </c>
      <c r="L225" s="27">
        <v>551</v>
      </c>
      <c r="M225" s="93">
        <f t="shared" si="110"/>
        <v>2805.5</v>
      </c>
      <c r="N225" s="93">
        <f t="shared" si="100"/>
        <v>0</v>
      </c>
      <c r="O225" s="70">
        <f t="shared" si="84"/>
        <v>100</v>
      </c>
      <c r="P225" s="71">
        <f t="shared" si="111"/>
        <v>0</v>
      </c>
      <c r="Q225" s="35">
        <f t="shared" si="112"/>
        <v>0</v>
      </c>
      <c r="R225" s="72">
        <v>1103782</v>
      </c>
      <c r="S225" s="72">
        <f t="shared" si="113"/>
        <v>1425.5</v>
      </c>
      <c r="T225" s="62">
        <f t="shared" si="80"/>
        <v>1425.5</v>
      </c>
    </row>
    <row r="226" spans="1:20">
      <c r="A226" s="100"/>
      <c r="B226" s="9"/>
      <c r="C226" s="9"/>
      <c r="D226" s="69"/>
      <c r="E226" s="69">
        <v>169</v>
      </c>
      <c r="F226" s="136" t="s">
        <v>103</v>
      </c>
      <c r="G226" s="26">
        <v>63</v>
      </c>
      <c r="H226" s="26"/>
      <c r="I226" s="26"/>
      <c r="J226" s="27">
        <f t="shared" si="109"/>
        <v>0</v>
      </c>
      <c r="K226" s="35">
        <f>'1.06.'!M226</f>
        <v>0</v>
      </c>
      <c r="L226" s="27"/>
      <c r="M226" s="93">
        <f t="shared" si="110"/>
        <v>0</v>
      </c>
      <c r="N226" s="93">
        <f t="shared" si="100"/>
        <v>0</v>
      </c>
      <c r="O226" s="70" t="e">
        <f t="shared" si="84"/>
        <v>#DIV/0!</v>
      </c>
      <c r="P226" s="71">
        <f t="shared" si="111"/>
        <v>0</v>
      </c>
      <c r="Q226" s="35">
        <f t="shared" si="112"/>
        <v>0</v>
      </c>
      <c r="R226" s="72">
        <v>1103783</v>
      </c>
      <c r="S226" s="72">
        <f t="shared" si="113"/>
        <v>63</v>
      </c>
      <c r="T226" s="62">
        <f t="shared" si="80"/>
        <v>63</v>
      </c>
    </row>
    <row r="227" spans="1:20" ht="25.5" hidden="1">
      <c r="A227" s="100"/>
      <c r="B227" s="15"/>
      <c r="C227" s="57" t="s">
        <v>43</v>
      </c>
      <c r="D227" s="18"/>
      <c r="E227" s="115"/>
      <c r="F227" s="67" t="s">
        <v>44</v>
      </c>
      <c r="G227" s="59">
        <f t="shared" ref="G227:N228" si="114">G228</f>
        <v>0</v>
      </c>
      <c r="H227" s="59">
        <f t="shared" si="114"/>
        <v>0</v>
      </c>
      <c r="I227" s="59">
        <f t="shared" si="114"/>
        <v>0</v>
      </c>
      <c r="J227" s="33">
        <f t="shared" si="114"/>
        <v>0</v>
      </c>
      <c r="K227" s="35">
        <f>'1.06.'!M227</f>
        <v>0</v>
      </c>
      <c r="L227" s="59">
        <f t="shared" si="114"/>
        <v>0</v>
      </c>
      <c r="M227" s="29">
        <f t="shared" si="114"/>
        <v>0</v>
      </c>
      <c r="N227" s="29">
        <f t="shared" si="114"/>
        <v>0</v>
      </c>
      <c r="O227" s="70"/>
      <c r="P227" s="71">
        <f t="shared" si="111"/>
        <v>0</v>
      </c>
      <c r="Q227" s="35">
        <f t="shared" si="112"/>
        <v>0</v>
      </c>
      <c r="R227" s="72">
        <v>1103784</v>
      </c>
      <c r="S227" s="72">
        <f t="shared" si="113"/>
        <v>0</v>
      </c>
    </row>
    <row r="228" spans="1:20" hidden="1">
      <c r="A228" s="9"/>
      <c r="B228" s="12"/>
      <c r="C228" s="12"/>
      <c r="D228" s="11" t="s">
        <v>7</v>
      </c>
      <c r="E228" s="97"/>
      <c r="F228" s="4" t="s">
        <v>22</v>
      </c>
      <c r="G228" s="98">
        <f t="shared" si="114"/>
        <v>0</v>
      </c>
      <c r="H228" s="98">
        <f t="shared" si="114"/>
        <v>0</v>
      </c>
      <c r="I228" s="98">
        <f t="shared" si="114"/>
        <v>0</v>
      </c>
      <c r="J228" s="99">
        <f>J229</f>
        <v>0</v>
      </c>
      <c r="K228" s="35">
        <f>'1.06.'!M228</f>
        <v>0</v>
      </c>
      <c r="L228" s="98">
        <f t="shared" si="114"/>
        <v>0</v>
      </c>
      <c r="M228" s="32">
        <f t="shared" si="114"/>
        <v>0</v>
      </c>
      <c r="N228" s="32">
        <f t="shared" si="114"/>
        <v>0</v>
      </c>
      <c r="O228" s="68" t="e">
        <f>M228/I228*100</f>
        <v>#DIV/0!</v>
      </c>
      <c r="P228" s="71">
        <f t="shared" si="111"/>
        <v>0</v>
      </c>
      <c r="Q228" s="35">
        <f t="shared" si="112"/>
        <v>0</v>
      </c>
      <c r="R228" s="72">
        <v>1103785</v>
      </c>
      <c r="S228" s="72">
        <f t="shared" si="113"/>
        <v>0</v>
      </c>
      <c r="T228" s="62">
        <f>G228-J228</f>
        <v>0</v>
      </c>
    </row>
    <row r="229" spans="1:20" ht="25.5" hidden="1">
      <c r="A229" s="100"/>
      <c r="B229" s="15"/>
      <c r="C229" s="15"/>
      <c r="D229" s="16"/>
      <c r="E229" s="20">
        <v>414</v>
      </c>
      <c r="F229" s="86" t="s">
        <v>64</v>
      </c>
      <c r="G229" s="37"/>
      <c r="H229" s="37"/>
      <c r="I229" s="37"/>
      <c r="J229" s="75">
        <f>M229</f>
        <v>0</v>
      </c>
      <c r="K229" s="35">
        <f>'1.06.'!M229</f>
        <v>0</v>
      </c>
      <c r="L229" s="35"/>
      <c r="M229" s="93">
        <f t="shared" ref="M229" si="115">K229+L229</f>
        <v>0</v>
      </c>
      <c r="N229" s="93">
        <f t="shared" ref="N229" si="116">I229-M229</f>
        <v>0</v>
      </c>
      <c r="O229" s="70" t="e">
        <f>M229/I229*100</f>
        <v>#DIV/0!</v>
      </c>
      <c r="P229" s="71">
        <f t="shared" si="111"/>
        <v>0</v>
      </c>
      <c r="Q229" s="35">
        <f t="shared" si="112"/>
        <v>0</v>
      </c>
      <c r="R229" s="72">
        <v>1103786</v>
      </c>
      <c r="S229" s="72">
        <f t="shared" si="113"/>
        <v>0</v>
      </c>
    </row>
    <row r="230" spans="1:20" s="73" customFormat="1" ht="38.25">
      <c r="A230" s="100"/>
      <c r="B230" s="17">
        <v>1267</v>
      </c>
      <c r="C230" s="8"/>
      <c r="D230" s="21"/>
      <c r="E230" s="21"/>
      <c r="F230" s="139" t="s">
        <v>126</v>
      </c>
      <c r="G230" s="42">
        <f>G231+G234+G254+G258+G277</f>
        <v>7960352</v>
      </c>
      <c r="H230" s="42">
        <f t="shared" ref="H230:N230" si="117">H231+H234+H254+H258+H277</f>
        <v>2083248.9</v>
      </c>
      <c r="I230" s="42">
        <f t="shared" si="117"/>
        <v>2044184.6</v>
      </c>
      <c r="J230" s="29">
        <f t="shared" si="117"/>
        <v>2078677.9028700001</v>
      </c>
      <c r="K230" s="29">
        <f>'1.02.'!M216</f>
        <v>60896.595510000006</v>
      </c>
      <c r="L230" s="42">
        <f t="shared" si="117"/>
        <v>447395.59068000002</v>
      </c>
      <c r="M230" s="29">
        <f t="shared" si="117"/>
        <v>2042945.0021200001</v>
      </c>
      <c r="N230" s="29">
        <f t="shared" si="117"/>
        <v>1239.5978800000535</v>
      </c>
      <c r="O230" s="68">
        <f t="shared" si="84"/>
        <v>99.93935978776085</v>
      </c>
      <c r="P230" s="35">
        <f t="shared" si="111"/>
        <v>35732.90075000003</v>
      </c>
      <c r="Q230" s="35">
        <f t="shared" si="112"/>
        <v>4570.9971299997997</v>
      </c>
      <c r="R230" s="72">
        <v>1103787</v>
      </c>
      <c r="S230" s="72">
        <f t="shared" si="113"/>
        <v>5917406.9978799997</v>
      </c>
      <c r="T230" s="62">
        <f t="shared" si="80"/>
        <v>5881674.0971299997</v>
      </c>
    </row>
    <row r="231" spans="1:20" ht="25.5">
      <c r="A231" s="103"/>
      <c r="B231" s="8"/>
      <c r="C231" s="17" t="s">
        <v>28</v>
      </c>
      <c r="D231" s="21"/>
      <c r="E231" s="21"/>
      <c r="F231" s="125" t="s">
        <v>127</v>
      </c>
      <c r="G231" s="23">
        <f>G232</f>
        <v>19620</v>
      </c>
      <c r="H231" s="23">
        <f t="shared" ref="H231:O232" si="118">H232</f>
        <v>0</v>
      </c>
      <c r="I231" s="23">
        <f t="shared" si="118"/>
        <v>0</v>
      </c>
      <c r="J231" s="38">
        <f t="shared" si="118"/>
        <v>0</v>
      </c>
      <c r="K231" s="35">
        <f>'1.02.'!M217</f>
        <v>0</v>
      </c>
      <c r="L231" s="23">
        <f t="shared" si="118"/>
        <v>0</v>
      </c>
      <c r="M231" s="24">
        <f t="shared" si="118"/>
        <v>0</v>
      </c>
      <c r="N231" s="24">
        <f t="shared" si="118"/>
        <v>0</v>
      </c>
      <c r="O231" s="39" t="e">
        <f t="shared" si="118"/>
        <v>#DIV/0!</v>
      </c>
      <c r="P231" s="71">
        <f t="shared" si="111"/>
        <v>0</v>
      </c>
      <c r="Q231" s="35">
        <f>H231-J231</f>
        <v>0</v>
      </c>
      <c r="R231" s="72">
        <v>1103788</v>
      </c>
      <c r="S231" s="72">
        <f t="shared" si="113"/>
        <v>19620</v>
      </c>
    </row>
    <row r="232" spans="1:20">
      <c r="A232" s="100"/>
      <c r="B232" s="8"/>
      <c r="C232" s="8"/>
      <c r="D232" s="17" t="s">
        <v>7</v>
      </c>
      <c r="E232" s="10"/>
      <c r="F232" s="140" t="s">
        <v>85</v>
      </c>
      <c r="G232" s="59">
        <f>G233</f>
        <v>19620</v>
      </c>
      <c r="H232" s="59">
        <f t="shared" si="118"/>
        <v>0</v>
      </c>
      <c r="I232" s="59">
        <f t="shared" si="118"/>
        <v>0</v>
      </c>
      <c r="J232" s="59">
        <f t="shared" si="118"/>
        <v>0</v>
      </c>
      <c r="K232" s="35">
        <f>'1.02.'!M218</f>
        <v>0</v>
      </c>
      <c r="L232" s="59">
        <f t="shared" si="118"/>
        <v>0</v>
      </c>
      <c r="M232" s="29">
        <f t="shared" si="118"/>
        <v>0</v>
      </c>
      <c r="N232" s="29">
        <f t="shared" si="118"/>
        <v>0</v>
      </c>
      <c r="O232" s="68" t="e">
        <f>M232/I232*100</f>
        <v>#DIV/0!</v>
      </c>
      <c r="P232" s="71">
        <f t="shared" si="111"/>
        <v>0</v>
      </c>
      <c r="Q232" s="35">
        <f t="shared" si="112"/>
        <v>0</v>
      </c>
      <c r="R232" s="72">
        <v>1103789</v>
      </c>
      <c r="S232" s="72">
        <f t="shared" si="113"/>
        <v>19620</v>
      </c>
    </row>
    <row r="233" spans="1:20">
      <c r="A233" s="100"/>
      <c r="B233" s="9"/>
      <c r="C233" s="9"/>
      <c r="D233" s="69"/>
      <c r="E233" s="69">
        <v>159</v>
      </c>
      <c r="F233" s="136" t="s">
        <v>84</v>
      </c>
      <c r="G233" s="26">
        <v>19620</v>
      </c>
      <c r="H233" s="26"/>
      <c r="I233" s="26"/>
      <c r="J233" s="105">
        <f>M233</f>
        <v>0</v>
      </c>
      <c r="K233" s="35">
        <f>'1.02.'!M219</f>
        <v>0</v>
      </c>
      <c r="L233" s="27"/>
      <c r="M233" s="93">
        <f>K233+L233</f>
        <v>0</v>
      </c>
      <c r="N233" s="93">
        <f>I233-M233</f>
        <v>0</v>
      </c>
      <c r="O233" s="70" t="e">
        <f>M233/I233*100</f>
        <v>#DIV/0!</v>
      </c>
      <c r="P233" s="71">
        <f t="shared" si="111"/>
        <v>0</v>
      </c>
      <c r="Q233" s="35">
        <f t="shared" si="112"/>
        <v>0</v>
      </c>
      <c r="R233" s="72">
        <v>1103790</v>
      </c>
      <c r="S233" s="72">
        <f t="shared" si="113"/>
        <v>19620</v>
      </c>
    </row>
    <row r="234" spans="1:20" s="95" customFormat="1" ht="38.25">
      <c r="A234" s="100"/>
      <c r="B234" s="8"/>
      <c r="C234" s="17" t="s">
        <v>29</v>
      </c>
      <c r="D234" s="21"/>
      <c r="E234" s="21"/>
      <c r="F234" s="139" t="s">
        <v>128</v>
      </c>
      <c r="G234" s="59">
        <f>G235</f>
        <v>1078082</v>
      </c>
      <c r="H234" s="59">
        <f t="shared" ref="H234:N234" si="119">H235</f>
        <v>531983.4</v>
      </c>
      <c r="I234" s="59">
        <f t="shared" si="119"/>
        <v>499061.00000000006</v>
      </c>
      <c r="J234" s="29">
        <f t="shared" si="119"/>
        <v>530352.17936000007</v>
      </c>
      <c r="K234" s="59">
        <f t="shared" si="119"/>
        <v>409333.22691000003</v>
      </c>
      <c r="L234" s="29">
        <f t="shared" si="119"/>
        <v>88926.027600000016</v>
      </c>
      <c r="M234" s="29">
        <f t="shared" si="119"/>
        <v>498259.25451000006</v>
      </c>
      <c r="N234" s="29">
        <f t="shared" si="119"/>
        <v>801.74549000000115</v>
      </c>
      <c r="O234" s="68">
        <f>M234/I234*100</f>
        <v>99.839349199797226</v>
      </c>
      <c r="P234" s="71">
        <f t="shared" si="111"/>
        <v>32092.92485000001</v>
      </c>
      <c r="Q234" s="35">
        <f t="shared" si="112"/>
        <v>1631.2206399999559</v>
      </c>
      <c r="R234" s="72">
        <v>1103791</v>
      </c>
      <c r="S234" s="72">
        <f t="shared" si="113"/>
        <v>579822.74548999988</v>
      </c>
      <c r="T234" s="62">
        <f t="shared" si="80"/>
        <v>547729.82063999993</v>
      </c>
    </row>
    <row r="235" spans="1:20">
      <c r="A235" s="100"/>
      <c r="B235" s="8"/>
      <c r="C235" s="8"/>
      <c r="D235" s="17" t="s">
        <v>7</v>
      </c>
      <c r="E235" s="10"/>
      <c r="F235" s="140" t="s">
        <v>85</v>
      </c>
      <c r="G235" s="59">
        <f>SUM(G236:G253)</f>
        <v>1078082</v>
      </c>
      <c r="H235" s="59">
        <f>SUM(H236:H253)</f>
        <v>531983.4</v>
      </c>
      <c r="I235" s="59">
        <f t="shared" ref="I235:M235" si="120">SUM(I236:I253)</f>
        <v>499061.00000000006</v>
      </c>
      <c r="J235" s="29">
        <f t="shared" si="120"/>
        <v>530352.17936000007</v>
      </c>
      <c r="K235" s="59">
        <f t="shared" si="120"/>
        <v>409333.22691000003</v>
      </c>
      <c r="L235" s="29">
        <f t="shared" si="120"/>
        <v>88926.027600000016</v>
      </c>
      <c r="M235" s="29">
        <f t="shared" si="120"/>
        <v>498259.25451000006</v>
      </c>
      <c r="N235" s="102">
        <f>I235-M235</f>
        <v>801.74549000000115</v>
      </c>
      <c r="O235" s="68">
        <f>M235/I235*100</f>
        <v>99.839349199797226</v>
      </c>
      <c r="P235" s="71">
        <f t="shared" si="111"/>
        <v>32092.92485000001</v>
      </c>
      <c r="Q235" s="35">
        <f t="shared" si="112"/>
        <v>1631.2206399999559</v>
      </c>
      <c r="R235" s="72">
        <v>1103792</v>
      </c>
      <c r="S235" s="72">
        <f t="shared" si="113"/>
        <v>579822.74548999988</v>
      </c>
      <c r="T235" s="62">
        <f t="shared" ref="T235:T253" si="121">G235-J235</f>
        <v>547729.82063999993</v>
      </c>
    </row>
    <row r="236" spans="1:20">
      <c r="A236" s="100"/>
      <c r="B236" s="9"/>
      <c r="C236" s="9"/>
      <c r="D236" s="69"/>
      <c r="E236" s="69">
        <v>111</v>
      </c>
      <c r="F236" s="136" t="s">
        <v>86</v>
      </c>
      <c r="G236" s="26">
        <f>686021+106628</f>
        <v>792649</v>
      </c>
      <c r="H236" s="26">
        <v>377000</v>
      </c>
      <c r="I236" s="26">
        <v>377000</v>
      </c>
      <c r="J236" s="105">
        <f>M236</f>
        <v>377000</v>
      </c>
      <c r="K236" s="35">
        <f>'1.06.'!M236</f>
        <v>310500</v>
      </c>
      <c r="L236" s="27">
        <v>66500</v>
      </c>
      <c r="M236" s="93">
        <f t="shared" ref="M236:M263" si="122">K236+L236</f>
        <v>377000</v>
      </c>
      <c r="N236" s="93">
        <f>I236-M236</f>
        <v>0</v>
      </c>
      <c r="O236" s="70">
        <f t="shared" ref="O236:O253" si="123">M236/I236*100</f>
        <v>100</v>
      </c>
      <c r="P236" s="71">
        <f t="shared" si="111"/>
        <v>0</v>
      </c>
      <c r="Q236" s="35">
        <f t="shared" si="112"/>
        <v>0</v>
      </c>
      <c r="R236" s="72">
        <v>1103793</v>
      </c>
      <c r="S236" s="72">
        <f t="shared" si="113"/>
        <v>415649</v>
      </c>
      <c r="T236" s="62">
        <f t="shared" si="121"/>
        <v>415649</v>
      </c>
    </row>
    <row r="237" spans="1:20">
      <c r="A237" s="100"/>
      <c r="B237" s="9"/>
      <c r="C237" s="9"/>
      <c r="D237" s="69"/>
      <c r="E237" s="69">
        <v>112</v>
      </c>
      <c r="F237" s="136" t="s">
        <v>87</v>
      </c>
      <c r="G237" s="26">
        <v>5500</v>
      </c>
      <c r="H237" s="26">
        <v>5500</v>
      </c>
      <c r="I237" s="26">
        <v>5500</v>
      </c>
      <c r="J237" s="105">
        <f t="shared" ref="J237:J243" si="124">M237</f>
        <v>5500</v>
      </c>
      <c r="K237" s="35">
        <f>'1.06.'!M237</f>
        <v>5500</v>
      </c>
      <c r="L237" s="27"/>
      <c r="M237" s="93">
        <f t="shared" si="122"/>
        <v>5500</v>
      </c>
      <c r="N237" s="93">
        <f t="shared" ref="N237:N253" si="125">I237-M237</f>
        <v>0</v>
      </c>
      <c r="O237" s="70">
        <f t="shared" si="123"/>
        <v>100</v>
      </c>
      <c r="P237" s="71">
        <f t="shared" si="111"/>
        <v>0</v>
      </c>
      <c r="Q237" s="35">
        <f t="shared" si="112"/>
        <v>0</v>
      </c>
      <c r="R237" s="72">
        <v>1103794</v>
      </c>
      <c r="S237" s="72">
        <f t="shared" si="113"/>
        <v>0</v>
      </c>
    </row>
    <row r="238" spans="1:20">
      <c r="A238" s="100"/>
      <c r="B238" s="9"/>
      <c r="C238" s="9"/>
      <c r="D238" s="69"/>
      <c r="E238" s="76">
        <v>113</v>
      </c>
      <c r="F238" s="136" t="s">
        <v>88</v>
      </c>
      <c r="G238" s="26">
        <v>32776</v>
      </c>
      <c r="H238" s="26">
        <v>10199</v>
      </c>
      <c r="I238" s="26">
        <v>10199</v>
      </c>
      <c r="J238" s="105">
        <f t="shared" si="124"/>
        <v>10198.957</v>
      </c>
      <c r="K238" s="35">
        <f>'1.06.'!M238</f>
        <v>5718.607</v>
      </c>
      <c r="L238" s="27">
        <v>4480.3500000000004</v>
      </c>
      <c r="M238" s="93">
        <f t="shared" si="122"/>
        <v>10198.957</v>
      </c>
      <c r="N238" s="93">
        <f t="shared" si="125"/>
        <v>4.2999999999665306E-2</v>
      </c>
      <c r="O238" s="70">
        <f t="shared" si="123"/>
        <v>99.999578390038252</v>
      </c>
      <c r="P238" s="71">
        <f t="shared" si="111"/>
        <v>0</v>
      </c>
      <c r="Q238" s="35">
        <f t="shared" si="112"/>
        <v>4.2999999999665306E-2</v>
      </c>
      <c r="R238" s="72">
        <v>1103795</v>
      </c>
      <c r="S238" s="72">
        <f t="shared" si="113"/>
        <v>22577.042999999998</v>
      </c>
      <c r="T238" s="62">
        <f t="shared" si="121"/>
        <v>22577.042999999998</v>
      </c>
    </row>
    <row r="239" spans="1:20">
      <c r="A239" s="100"/>
      <c r="B239" s="9"/>
      <c r="C239" s="9"/>
      <c r="D239" s="69"/>
      <c r="E239" s="69">
        <v>116</v>
      </c>
      <c r="F239" s="136" t="s">
        <v>89</v>
      </c>
      <c r="G239" s="26">
        <f>24011+3925</f>
        <v>27936</v>
      </c>
      <c r="H239" s="26">
        <v>11722</v>
      </c>
      <c r="I239" s="26">
        <v>11722</v>
      </c>
      <c r="J239" s="105">
        <f t="shared" si="124"/>
        <v>11617.384</v>
      </c>
      <c r="K239" s="35">
        <f>'1.06.'!M239</f>
        <v>9394</v>
      </c>
      <c r="L239" s="27">
        <v>2223.384</v>
      </c>
      <c r="M239" s="93">
        <f>K239+L239</f>
        <v>11617.384</v>
      </c>
      <c r="N239" s="93">
        <f t="shared" si="125"/>
        <v>104.61599999999999</v>
      </c>
      <c r="O239" s="70">
        <f>M239/I239*100</f>
        <v>99.107524313257116</v>
      </c>
      <c r="P239" s="71">
        <f t="shared" si="111"/>
        <v>0</v>
      </c>
      <c r="Q239" s="35">
        <f t="shared" si="112"/>
        <v>104.61599999999999</v>
      </c>
      <c r="R239" s="72">
        <v>1103796</v>
      </c>
      <c r="S239" s="72">
        <f t="shared" si="113"/>
        <v>16318.616</v>
      </c>
    </row>
    <row r="240" spans="1:20">
      <c r="A240" s="100"/>
      <c r="B240" s="9"/>
      <c r="C240" s="9"/>
      <c r="D240" s="69"/>
      <c r="E240" s="69">
        <v>121</v>
      </c>
      <c r="F240" s="136" t="s">
        <v>90</v>
      </c>
      <c r="G240" s="26">
        <f>35536+5920</f>
        <v>41456</v>
      </c>
      <c r="H240" s="26">
        <v>17765</v>
      </c>
      <c r="I240" s="26">
        <v>17765</v>
      </c>
      <c r="J240" s="105">
        <f t="shared" si="124"/>
        <v>17765</v>
      </c>
      <c r="K240" s="35">
        <f>'1.06.'!M240</f>
        <v>14212</v>
      </c>
      <c r="L240" s="27">
        <v>3553</v>
      </c>
      <c r="M240" s="93">
        <f>K240+L240</f>
        <v>17765</v>
      </c>
      <c r="N240" s="93">
        <f t="shared" si="125"/>
        <v>0</v>
      </c>
      <c r="O240" s="70">
        <f>M240/I240*100</f>
        <v>100</v>
      </c>
      <c r="P240" s="71">
        <f t="shared" si="111"/>
        <v>0</v>
      </c>
      <c r="Q240" s="35">
        <f t="shared" si="112"/>
        <v>0</v>
      </c>
      <c r="R240" s="72">
        <v>1103797</v>
      </c>
      <c r="S240" s="72">
        <f t="shared" si="113"/>
        <v>23691</v>
      </c>
      <c r="T240" s="62">
        <f t="shared" si="121"/>
        <v>23691</v>
      </c>
    </row>
    <row r="241" spans="1:20">
      <c r="A241" s="100"/>
      <c r="B241" s="9"/>
      <c r="C241" s="9"/>
      <c r="D241" s="69"/>
      <c r="E241" s="69">
        <v>122</v>
      </c>
      <c r="F241" s="136" t="s">
        <v>91</v>
      </c>
      <c r="G241" s="26">
        <f>30871+5046</f>
        <v>35917</v>
      </c>
      <c r="H241" s="26">
        <v>17005</v>
      </c>
      <c r="I241" s="26">
        <v>17005</v>
      </c>
      <c r="J241" s="105">
        <f t="shared" si="124"/>
        <v>17005</v>
      </c>
      <c r="K241" s="35">
        <f>'1.06.'!M241</f>
        <v>13918</v>
      </c>
      <c r="L241" s="27">
        <v>3087</v>
      </c>
      <c r="M241" s="93">
        <f t="shared" si="122"/>
        <v>17005</v>
      </c>
      <c r="N241" s="93">
        <f t="shared" si="125"/>
        <v>0</v>
      </c>
      <c r="O241" s="70">
        <f t="shared" si="123"/>
        <v>100</v>
      </c>
      <c r="P241" s="71">
        <f t="shared" si="111"/>
        <v>0</v>
      </c>
      <c r="Q241" s="35">
        <f t="shared" si="112"/>
        <v>0</v>
      </c>
      <c r="R241" s="72">
        <v>1103798</v>
      </c>
      <c r="S241" s="72">
        <f t="shared" si="113"/>
        <v>18912</v>
      </c>
      <c r="T241" s="62">
        <f t="shared" si="121"/>
        <v>18912</v>
      </c>
    </row>
    <row r="242" spans="1:20">
      <c r="A242" s="100"/>
      <c r="B242" s="9"/>
      <c r="C242" s="9"/>
      <c r="D242" s="69"/>
      <c r="E242" s="69">
        <v>123</v>
      </c>
      <c r="F242" s="136" t="s">
        <v>92</v>
      </c>
      <c r="G242" s="26">
        <v>342</v>
      </c>
      <c r="H242" s="26">
        <v>35</v>
      </c>
      <c r="I242" s="26">
        <v>35</v>
      </c>
      <c r="J242" s="105">
        <f t="shared" si="124"/>
        <v>29.271999999999998</v>
      </c>
      <c r="K242" s="35">
        <f>'1.06.'!M242</f>
        <v>29.271999999999998</v>
      </c>
      <c r="L242" s="27"/>
      <c r="M242" s="93">
        <f t="shared" si="122"/>
        <v>29.271999999999998</v>
      </c>
      <c r="N242" s="93">
        <f t="shared" si="125"/>
        <v>5.7280000000000015</v>
      </c>
      <c r="O242" s="70">
        <f t="shared" si="123"/>
        <v>83.63428571428571</v>
      </c>
      <c r="P242" s="71">
        <f t="shared" si="111"/>
        <v>0</v>
      </c>
      <c r="Q242" s="35">
        <f t="shared" si="112"/>
        <v>5.7280000000000015</v>
      </c>
      <c r="R242" s="72">
        <v>1103799</v>
      </c>
      <c r="S242" s="72">
        <f t="shared" si="113"/>
        <v>312.72800000000001</v>
      </c>
    </row>
    <row r="243" spans="1:20">
      <c r="A243" s="100"/>
      <c r="B243" s="9"/>
      <c r="C243" s="9"/>
      <c r="D243" s="69"/>
      <c r="E243" s="69">
        <v>124</v>
      </c>
      <c r="F243" s="136" t="s">
        <v>93</v>
      </c>
      <c r="G243" s="26">
        <f>20581+3364</f>
        <v>23945</v>
      </c>
      <c r="H243" s="26">
        <v>9975</v>
      </c>
      <c r="I243" s="26">
        <v>9975</v>
      </c>
      <c r="J243" s="105">
        <f t="shared" si="124"/>
        <v>9975</v>
      </c>
      <c r="K243" s="35">
        <f>'1.06.'!M243</f>
        <v>7980</v>
      </c>
      <c r="L243" s="27">
        <v>1995</v>
      </c>
      <c r="M243" s="93">
        <f t="shared" si="122"/>
        <v>9975</v>
      </c>
      <c r="N243" s="93">
        <f t="shared" si="125"/>
        <v>0</v>
      </c>
      <c r="O243" s="70">
        <f t="shared" si="123"/>
        <v>100</v>
      </c>
      <c r="P243" s="71">
        <f t="shared" si="111"/>
        <v>0</v>
      </c>
      <c r="Q243" s="35">
        <f t="shared" si="112"/>
        <v>0</v>
      </c>
      <c r="R243" s="72">
        <v>1103800</v>
      </c>
      <c r="S243" s="72">
        <f t="shared" si="113"/>
        <v>13970</v>
      </c>
      <c r="T243" s="62">
        <f t="shared" si="121"/>
        <v>13970</v>
      </c>
    </row>
    <row r="244" spans="1:20">
      <c r="A244" s="100"/>
      <c r="B244" s="9"/>
      <c r="C244" s="9"/>
      <c r="D244" s="69"/>
      <c r="E244" s="69">
        <v>144</v>
      </c>
      <c r="F244" s="136" t="s">
        <v>97</v>
      </c>
      <c r="G244" s="26">
        <f>9873-951.9</f>
        <v>8921.1</v>
      </c>
      <c r="H244" s="26">
        <v>8921.1</v>
      </c>
      <c r="I244" s="26">
        <v>7888.2</v>
      </c>
      <c r="J244" s="105">
        <v>8921.0878400000001</v>
      </c>
      <c r="K244" s="35">
        <f>'1.06.'!M244</f>
        <v>7888.0278399999997</v>
      </c>
      <c r="L244" s="27"/>
      <c r="M244" s="93">
        <f t="shared" si="122"/>
        <v>7888.0278399999997</v>
      </c>
      <c r="N244" s="93">
        <f t="shared" si="125"/>
        <v>0.17216000000007625</v>
      </c>
      <c r="O244" s="70">
        <f t="shared" si="123"/>
        <v>99.997817499556291</v>
      </c>
      <c r="P244" s="71">
        <f t="shared" si="111"/>
        <v>1033.0600000000004</v>
      </c>
      <c r="Q244" s="35">
        <f t="shared" si="112"/>
        <v>1.2160000000221771E-2</v>
      </c>
      <c r="R244" s="72">
        <v>1103801</v>
      </c>
      <c r="S244" s="72">
        <f t="shared" si="113"/>
        <v>1033.0721600000006</v>
      </c>
      <c r="T244" s="62">
        <f t="shared" si="121"/>
        <v>1.2160000000221771E-2</v>
      </c>
    </row>
    <row r="245" spans="1:20">
      <c r="A245" s="100"/>
      <c r="B245" s="9"/>
      <c r="C245" s="9"/>
      <c r="D245" s="69"/>
      <c r="E245" s="69">
        <v>149</v>
      </c>
      <c r="F245" s="136" t="s">
        <v>98</v>
      </c>
      <c r="G245" s="26">
        <v>21813</v>
      </c>
      <c r="H245" s="26">
        <v>3804.4</v>
      </c>
      <c r="I245" s="26">
        <v>3804.4</v>
      </c>
      <c r="J245" s="105">
        <v>3482.6327700000002</v>
      </c>
      <c r="K245" s="35">
        <f>'1.06.'!M245</f>
        <v>2856.02061</v>
      </c>
      <c r="L245" s="27">
        <v>626.61216000000002</v>
      </c>
      <c r="M245" s="93">
        <f t="shared" si="122"/>
        <v>3482.6327700000002</v>
      </c>
      <c r="N245" s="93">
        <f t="shared" si="125"/>
        <v>321.76722999999993</v>
      </c>
      <c r="O245" s="70">
        <f t="shared" si="123"/>
        <v>91.542234517926616</v>
      </c>
      <c r="P245" s="71">
        <f t="shared" si="111"/>
        <v>0</v>
      </c>
      <c r="Q245" s="35">
        <f t="shared" si="112"/>
        <v>321.76722999999993</v>
      </c>
      <c r="R245" s="72">
        <v>1103802</v>
      </c>
      <c r="S245" s="72">
        <f t="shared" si="113"/>
        <v>18330.36723</v>
      </c>
      <c r="T245" s="62">
        <f t="shared" si="121"/>
        <v>18330.36723</v>
      </c>
    </row>
    <row r="246" spans="1:20">
      <c r="A246" s="100"/>
      <c r="B246" s="9"/>
      <c r="C246" s="9"/>
      <c r="D246" s="69"/>
      <c r="E246" s="69">
        <v>151</v>
      </c>
      <c r="F246" s="136" t="s">
        <v>99</v>
      </c>
      <c r="G246" s="26">
        <v>10168</v>
      </c>
      <c r="H246" s="26">
        <v>6836</v>
      </c>
      <c r="I246" s="26">
        <v>6836</v>
      </c>
      <c r="J246" s="105">
        <f>M246</f>
        <v>6520.5305900000003</v>
      </c>
      <c r="K246" s="35">
        <f>'1.06.'!M246</f>
        <v>6092.2334600000004</v>
      </c>
      <c r="L246" s="27">
        <v>428.29712999999998</v>
      </c>
      <c r="M246" s="93">
        <f t="shared" si="122"/>
        <v>6520.5305900000003</v>
      </c>
      <c r="N246" s="93">
        <f t="shared" si="125"/>
        <v>315.4694099999997</v>
      </c>
      <c r="O246" s="70">
        <f t="shared" si="123"/>
        <v>95.385175394967831</v>
      </c>
      <c r="P246" s="71">
        <f t="shared" si="111"/>
        <v>0</v>
      </c>
      <c r="Q246" s="35">
        <f t="shared" si="112"/>
        <v>315.4694099999997</v>
      </c>
      <c r="R246" s="72">
        <v>1103803</v>
      </c>
      <c r="S246" s="72">
        <f t="shared" si="113"/>
        <v>3647.4694099999997</v>
      </c>
      <c r="T246" s="62">
        <f t="shared" si="121"/>
        <v>3647.4694099999997</v>
      </c>
    </row>
    <row r="247" spans="1:20">
      <c r="A247" s="100"/>
      <c r="B247" s="9"/>
      <c r="C247" s="9"/>
      <c r="D247" s="69"/>
      <c r="E247" s="69">
        <v>152</v>
      </c>
      <c r="F247" s="136" t="s">
        <v>100</v>
      </c>
      <c r="G247" s="26">
        <f>34000-419.4</f>
        <v>33580.6</v>
      </c>
      <c r="H247" s="26">
        <v>31008.9</v>
      </c>
      <c r="I247" s="26">
        <v>13240.8</v>
      </c>
      <c r="J247" s="105">
        <v>31008.889520000001</v>
      </c>
      <c r="K247" s="35">
        <f>'1.06.'!M247</f>
        <v>10763.8</v>
      </c>
      <c r="L247" s="27">
        <v>2474.4778099999999</v>
      </c>
      <c r="M247" s="93">
        <f t="shared" si="122"/>
        <v>13238.27781</v>
      </c>
      <c r="N247" s="93">
        <f t="shared" si="125"/>
        <v>2.5221899999996822</v>
      </c>
      <c r="O247" s="70">
        <f t="shared" si="123"/>
        <v>99.980951377560274</v>
      </c>
      <c r="P247" s="71">
        <f t="shared" si="111"/>
        <v>17770.611710000001</v>
      </c>
      <c r="Q247" s="35">
        <f t="shared" si="112"/>
        <v>1.0480000000825385E-2</v>
      </c>
      <c r="R247" s="72">
        <v>1103804</v>
      </c>
      <c r="S247" s="72">
        <f t="shared" si="113"/>
        <v>20342.322189999999</v>
      </c>
      <c r="T247" s="62">
        <f t="shared" si="121"/>
        <v>2571.7104799999979</v>
      </c>
    </row>
    <row r="248" spans="1:20" ht="25.5">
      <c r="A248" s="100"/>
      <c r="B248" s="9"/>
      <c r="C248" s="9"/>
      <c r="D248" s="69"/>
      <c r="E248" s="69">
        <v>158</v>
      </c>
      <c r="F248" s="136" t="s">
        <v>101</v>
      </c>
      <c r="G248" s="26">
        <v>3657</v>
      </c>
      <c r="H248" s="26">
        <v>3987.7</v>
      </c>
      <c r="I248" s="26">
        <v>1662.9</v>
      </c>
      <c r="J248" s="105">
        <v>3987.6156000000001</v>
      </c>
      <c r="K248" s="35">
        <f>'1.06.'!M248</f>
        <v>1330.3</v>
      </c>
      <c r="L248" s="27">
        <v>331.20650000000001</v>
      </c>
      <c r="M248" s="93">
        <f t="shared" si="122"/>
        <v>1661.5065</v>
      </c>
      <c r="N248" s="93">
        <f t="shared" si="125"/>
        <v>1.393500000000131</v>
      </c>
      <c r="O248" s="70">
        <f t="shared" si="123"/>
        <v>99.916200613386238</v>
      </c>
      <c r="P248" s="71">
        <f t="shared" si="111"/>
        <v>2326.1091000000001</v>
      </c>
      <c r="Q248" s="35">
        <f t="shared" si="112"/>
        <v>8.4399999999732245E-2</v>
      </c>
      <c r="R248" s="72">
        <v>1103805</v>
      </c>
      <c r="S248" s="72">
        <f t="shared" si="113"/>
        <v>1995.4935</v>
      </c>
      <c r="T248" s="62">
        <f t="shared" si="121"/>
        <v>-330.61560000000009</v>
      </c>
    </row>
    <row r="249" spans="1:20">
      <c r="A249" s="100"/>
      <c r="B249" s="9"/>
      <c r="C249" s="9"/>
      <c r="D249" s="69"/>
      <c r="E249" s="69">
        <v>159</v>
      </c>
      <c r="F249" s="136" t="s">
        <v>84</v>
      </c>
      <c r="G249" s="26">
        <f>28010+419.4+899.9</f>
        <v>29329.300000000003</v>
      </c>
      <c r="H249" s="26">
        <v>22572.3</v>
      </c>
      <c r="I249" s="26">
        <v>10775.7</v>
      </c>
      <c r="J249" s="105">
        <v>21738.84404</v>
      </c>
      <c r="K249" s="35">
        <f>'1.06.'!M249</f>
        <v>9449</v>
      </c>
      <c r="L249" s="27">
        <v>1326.7</v>
      </c>
      <c r="M249" s="93">
        <f t="shared" si="122"/>
        <v>10775.7</v>
      </c>
      <c r="N249" s="93">
        <f t="shared" si="125"/>
        <v>0</v>
      </c>
      <c r="O249" s="70">
        <f t="shared" si="123"/>
        <v>100</v>
      </c>
      <c r="P249" s="71">
        <f t="shared" si="111"/>
        <v>10963.144039999999</v>
      </c>
      <c r="Q249" s="35">
        <f t="shared" si="112"/>
        <v>833.45595999999932</v>
      </c>
      <c r="R249" s="72">
        <v>1103806</v>
      </c>
      <c r="S249" s="72">
        <f t="shared" si="113"/>
        <v>18553.600000000002</v>
      </c>
      <c r="T249" s="62">
        <f t="shared" si="121"/>
        <v>7590.455960000003</v>
      </c>
    </row>
    <row r="250" spans="1:20">
      <c r="A250" s="100"/>
      <c r="B250" s="9"/>
      <c r="C250" s="9"/>
      <c r="D250" s="69"/>
      <c r="E250" s="69">
        <v>161</v>
      </c>
      <c r="F250" s="136" t="s">
        <v>102</v>
      </c>
      <c r="G250" s="26">
        <f>9868+50</f>
        <v>9918</v>
      </c>
      <c r="H250" s="26">
        <v>5550</v>
      </c>
      <c r="I250" s="26">
        <v>5550</v>
      </c>
      <c r="J250" s="105">
        <f t="shared" ref="J250:J253" si="126">M250</f>
        <v>5550</v>
      </c>
      <c r="K250" s="35">
        <f>'1.06.'!M250</f>
        <v>3650</v>
      </c>
      <c r="L250" s="27">
        <v>1900</v>
      </c>
      <c r="M250" s="93">
        <f t="shared" si="122"/>
        <v>5550</v>
      </c>
      <c r="N250" s="93">
        <f t="shared" si="125"/>
        <v>0</v>
      </c>
      <c r="O250" s="70">
        <f t="shared" si="123"/>
        <v>100</v>
      </c>
      <c r="P250" s="71">
        <f t="shared" si="111"/>
        <v>0</v>
      </c>
      <c r="Q250" s="35">
        <f t="shared" si="112"/>
        <v>0</v>
      </c>
      <c r="R250" s="72">
        <v>1103807</v>
      </c>
      <c r="S250" s="72">
        <f t="shared" si="113"/>
        <v>4368</v>
      </c>
      <c r="T250" s="62">
        <f t="shared" si="121"/>
        <v>4368</v>
      </c>
    </row>
    <row r="251" spans="1:20">
      <c r="A251" s="100"/>
      <c r="B251" s="9"/>
      <c r="C251" s="9"/>
      <c r="D251" s="69"/>
      <c r="E251" s="69">
        <v>165</v>
      </c>
      <c r="F251" s="3" t="s">
        <v>168</v>
      </c>
      <c r="G251" s="26">
        <v>50</v>
      </c>
      <c r="H251" s="26">
        <v>50</v>
      </c>
      <c r="I251" s="26">
        <v>50</v>
      </c>
      <c r="J251" s="105">
        <f t="shared" si="126"/>
        <v>50</v>
      </c>
      <c r="K251" s="35">
        <f>'1.06.'!M251</f>
        <v>50</v>
      </c>
      <c r="L251" s="27"/>
      <c r="M251" s="93">
        <f t="shared" si="122"/>
        <v>50</v>
      </c>
      <c r="N251" s="93">
        <f t="shared" si="125"/>
        <v>0</v>
      </c>
      <c r="O251" s="70">
        <f t="shared" si="123"/>
        <v>100</v>
      </c>
      <c r="P251" s="71">
        <f t="shared" si="111"/>
        <v>0</v>
      </c>
      <c r="Q251" s="35">
        <f t="shared" si="112"/>
        <v>0</v>
      </c>
      <c r="R251" s="72">
        <v>1103808</v>
      </c>
      <c r="S251" s="72">
        <f t="shared" si="113"/>
        <v>0</v>
      </c>
    </row>
    <row r="252" spans="1:20">
      <c r="A252" s="100"/>
      <c r="B252" s="9"/>
      <c r="C252" s="9"/>
      <c r="D252" s="69"/>
      <c r="E252" s="69">
        <v>168</v>
      </c>
      <c r="F252" s="136" t="s">
        <v>167</v>
      </c>
      <c r="G252" s="26">
        <f>102+2</f>
        <v>104</v>
      </c>
      <c r="H252" s="26">
        <v>32</v>
      </c>
      <c r="I252" s="26">
        <v>32</v>
      </c>
      <c r="J252" s="105">
        <f t="shared" si="126"/>
        <v>1.966</v>
      </c>
      <c r="K252" s="35">
        <f>'1.06.'!M252</f>
        <v>1.966</v>
      </c>
      <c r="L252" s="27"/>
      <c r="M252" s="93">
        <f t="shared" si="122"/>
        <v>1.966</v>
      </c>
      <c r="N252" s="93">
        <f t="shared" si="125"/>
        <v>30.033999999999999</v>
      </c>
      <c r="O252" s="70">
        <f t="shared" si="123"/>
        <v>6.1437499999999998</v>
      </c>
      <c r="P252" s="71">
        <f t="shared" si="111"/>
        <v>0</v>
      </c>
      <c r="Q252" s="35">
        <f t="shared" si="112"/>
        <v>30.033999999999999</v>
      </c>
      <c r="R252" s="72">
        <v>1103809</v>
      </c>
      <c r="S252" s="72">
        <f t="shared" si="113"/>
        <v>102.03400000000001</v>
      </c>
    </row>
    <row r="253" spans="1:20">
      <c r="A253" s="100"/>
      <c r="B253" s="9"/>
      <c r="C253" s="9"/>
      <c r="D253" s="69"/>
      <c r="E253" s="69">
        <v>169</v>
      </c>
      <c r="F253" s="136" t="s">
        <v>103</v>
      </c>
      <c r="G253" s="26">
        <f>172-102-50</f>
        <v>20</v>
      </c>
      <c r="H253" s="26">
        <v>20</v>
      </c>
      <c r="I253" s="26">
        <v>20</v>
      </c>
      <c r="J253" s="105">
        <f t="shared" si="126"/>
        <v>0</v>
      </c>
      <c r="K253" s="35">
        <f>'1.06.'!M253</f>
        <v>0</v>
      </c>
      <c r="L253" s="27"/>
      <c r="M253" s="93">
        <f>K253+L253</f>
        <v>0</v>
      </c>
      <c r="N253" s="93">
        <f t="shared" si="125"/>
        <v>20</v>
      </c>
      <c r="O253" s="70">
        <f t="shared" si="123"/>
        <v>0</v>
      </c>
      <c r="P253" s="71">
        <f t="shared" si="111"/>
        <v>0</v>
      </c>
      <c r="Q253" s="35">
        <f t="shared" si="112"/>
        <v>20</v>
      </c>
      <c r="R253" s="72">
        <v>1103808</v>
      </c>
      <c r="S253" s="72">
        <f t="shared" si="113"/>
        <v>20</v>
      </c>
      <c r="T253" s="62">
        <f t="shared" si="121"/>
        <v>20</v>
      </c>
    </row>
    <row r="254" spans="1:20" ht="25.5">
      <c r="A254" s="100"/>
      <c r="B254" s="15"/>
      <c r="C254" s="57" t="s">
        <v>43</v>
      </c>
      <c r="D254" s="16"/>
      <c r="E254" s="20"/>
      <c r="F254" s="139" t="s">
        <v>119</v>
      </c>
      <c r="G254" s="59">
        <f t="shared" ref="G254:N254" si="127">G255</f>
        <v>3430</v>
      </c>
      <c r="H254" s="59">
        <f t="shared" si="127"/>
        <v>3430</v>
      </c>
      <c r="I254" s="59">
        <f t="shared" si="127"/>
        <v>437.1</v>
      </c>
      <c r="J254" s="29">
        <f t="shared" si="127"/>
        <v>517.03499999999997</v>
      </c>
      <c r="K254" s="35">
        <f>'1.02.'!M238</f>
        <v>0</v>
      </c>
      <c r="L254" s="29">
        <f t="shared" si="127"/>
        <v>0</v>
      </c>
      <c r="M254" s="29">
        <f t="shared" si="127"/>
        <v>0</v>
      </c>
      <c r="N254" s="29">
        <f t="shared" si="127"/>
        <v>437.1</v>
      </c>
      <c r="O254" s="70"/>
      <c r="P254" s="71">
        <f t="shared" si="111"/>
        <v>517.03499999999997</v>
      </c>
      <c r="Q254" s="35">
        <f t="shared" si="112"/>
        <v>2912.9650000000001</v>
      </c>
      <c r="R254" s="72">
        <v>1103809</v>
      </c>
      <c r="S254" s="72">
        <f t="shared" si="113"/>
        <v>3430</v>
      </c>
    </row>
    <row r="255" spans="1:20">
      <c r="A255" s="9"/>
      <c r="B255" s="12"/>
      <c r="C255" s="12"/>
      <c r="D255" s="11" t="s">
        <v>7</v>
      </c>
      <c r="E255" s="97"/>
      <c r="F255" s="122" t="s">
        <v>85</v>
      </c>
      <c r="G255" s="98">
        <f>G256+G257</f>
        <v>3430</v>
      </c>
      <c r="H255" s="98">
        <f t="shared" ref="H255:N255" si="128">H256+H257</f>
        <v>3430</v>
      </c>
      <c r="I255" s="98">
        <f t="shared" si="128"/>
        <v>437.1</v>
      </c>
      <c r="J255" s="98">
        <f t="shared" si="128"/>
        <v>517.03499999999997</v>
      </c>
      <c r="K255" s="35">
        <f>'1.02.'!M239</f>
        <v>0</v>
      </c>
      <c r="L255" s="32">
        <f t="shared" si="128"/>
        <v>0</v>
      </c>
      <c r="M255" s="32">
        <f t="shared" si="128"/>
        <v>0</v>
      </c>
      <c r="N255" s="32">
        <f t="shared" si="128"/>
        <v>437.1</v>
      </c>
      <c r="O255" s="68">
        <f>M255/I255*100</f>
        <v>0</v>
      </c>
      <c r="P255" s="71">
        <f t="shared" si="111"/>
        <v>517.03499999999997</v>
      </c>
      <c r="Q255" s="35">
        <f t="shared" si="112"/>
        <v>2912.9650000000001</v>
      </c>
      <c r="R255" s="72">
        <v>1103810</v>
      </c>
      <c r="S255" s="72">
        <f t="shared" si="113"/>
        <v>3430</v>
      </c>
      <c r="T255" s="62">
        <f>G255-J255</f>
        <v>2912.9650000000001</v>
      </c>
    </row>
    <row r="256" spans="1:20" ht="25.5">
      <c r="A256" s="100"/>
      <c r="B256" s="15"/>
      <c r="C256" s="15"/>
      <c r="D256" s="16"/>
      <c r="E256" s="20">
        <v>414</v>
      </c>
      <c r="F256" s="50" t="s">
        <v>105</v>
      </c>
      <c r="G256" s="37">
        <f>3430-1089.3</f>
        <v>2340.6999999999998</v>
      </c>
      <c r="H256" s="37">
        <v>2340.6999999999998</v>
      </c>
      <c r="I256" s="37">
        <v>437.1</v>
      </c>
      <c r="J256" s="75">
        <v>517.03499999999997</v>
      </c>
      <c r="K256" s="35">
        <f>'1.02.'!M240</f>
        <v>0</v>
      </c>
      <c r="L256" s="35"/>
      <c r="M256" s="93">
        <f>K256+L256</f>
        <v>0</v>
      </c>
      <c r="N256" s="93">
        <f t="shared" ref="N256:N257" si="129">I256-M256</f>
        <v>437.1</v>
      </c>
      <c r="O256" s="70">
        <f t="shared" ref="O256:O257" si="130">M256/I256*100</f>
        <v>0</v>
      </c>
      <c r="P256" s="71">
        <f t="shared" si="111"/>
        <v>517.03499999999997</v>
      </c>
      <c r="Q256" s="35">
        <f t="shared" si="112"/>
        <v>1823.665</v>
      </c>
      <c r="R256" s="72">
        <v>1103811</v>
      </c>
      <c r="S256" s="72">
        <f t="shared" si="113"/>
        <v>2340.6999999999998</v>
      </c>
    </row>
    <row r="257" spans="1:20">
      <c r="A257" s="100"/>
      <c r="B257" s="15"/>
      <c r="C257" s="15"/>
      <c r="D257" s="16"/>
      <c r="E257" s="20">
        <v>416</v>
      </c>
      <c r="F257" s="3" t="s">
        <v>57</v>
      </c>
      <c r="G257" s="37">
        <v>1089.3</v>
      </c>
      <c r="H257" s="37">
        <v>1089.3</v>
      </c>
      <c r="I257" s="37"/>
      <c r="J257" s="75">
        <f>M257</f>
        <v>0</v>
      </c>
      <c r="K257" s="35">
        <f>'1.02.'!M241</f>
        <v>0</v>
      </c>
      <c r="L257" s="35"/>
      <c r="M257" s="93">
        <f>K257+L257</f>
        <v>0</v>
      </c>
      <c r="N257" s="93">
        <f t="shared" si="129"/>
        <v>0</v>
      </c>
      <c r="O257" s="70" t="e">
        <f t="shared" si="130"/>
        <v>#DIV/0!</v>
      </c>
      <c r="P257" s="71">
        <f t="shared" si="111"/>
        <v>0</v>
      </c>
      <c r="Q257" s="35">
        <f t="shared" si="112"/>
        <v>1089.3</v>
      </c>
      <c r="R257" s="72">
        <v>1103812</v>
      </c>
      <c r="S257" s="72">
        <f t="shared" si="113"/>
        <v>1089.3</v>
      </c>
    </row>
    <row r="258" spans="1:20" s="73" customFormat="1">
      <c r="A258" s="103"/>
      <c r="B258" s="8"/>
      <c r="C258" s="17" t="s">
        <v>30</v>
      </c>
      <c r="D258" s="21"/>
      <c r="E258" s="21"/>
      <c r="F258" s="139" t="s">
        <v>129</v>
      </c>
      <c r="G258" s="23">
        <f>G259+G261+G264</f>
        <v>6848792</v>
      </c>
      <c r="H258" s="23">
        <f>H259+H261+H264</f>
        <v>1543943</v>
      </c>
      <c r="I258" s="23">
        <f t="shared" ref="I258:N258" si="131">I259+I261+I264</f>
        <v>1540794</v>
      </c>
      <c r="J258" s="24">
        <f t="shared" si="131"/>
        <v>1543916.18851</v>
      </c>
      <c r="K258" s="24">
        <f t="shared" si="131"/>
        <v>1183621.18453</v>
      </c>
      <c r="L258" s="24">
        <f t="shared" si="131"/>
        <v>357172.06307999999</v>
      </c>
      <c r="M258" s="24">
        <f t="shared" si="131"/>
        <v>1540793.24761</v>
      </c>
      <c r="N258" s="24">
        <f t="shared" si="131"/>
        <v>0.75239000005240086</v>
      </c>
      <c r="O258" s="68">
        <f>M258/I258*100</f>
        <v>99.999951168683154</v>
      </c>
      <c r="P258" s="71">
        <f t="shared" si="111"/>
        <v>3122.9409000000451</v>
      </c>
      <c r="Q258" s="35">
        <f t="shared" si="112"/>
        <v>26.811489999992773</v>
      </c>
      <c r="R258" s="72">
        <v>1103813</v>
      </c>
      <c r="S258" s="72">
        <f t="shared" si="113"/>
        <v>5307998.75239</v>
      </c>
      <c r="T258" s="62">
        <f t="shared" ref="T258:T285" si="132">G258-J258</f>
        <v>5304875.8114900002</v>
      </c>
    </row>
    <row r="259" spans="1:20">
      <c r="A259" s="100"/>
      <c r="B259" s="8"/>
      <c r="C259" s="8"/>
      <c r="D259" s="17" t="s">
        <v>31</v>
      </c>
      <c r="E259" s="10"/>
      <c r="F259" s="140" t="s">
        <v>130</v>
      </c>
      <c r="G259" s="59">
        <f>G260</f>
        <v>2827602</v>
      </c>
      <c r="H259" s="59">
        <f t="shared" ref="H259:N259" si="133">H260</f>
        <v>475823</v>
      </c>
      <c r="I259" s="59">
        <f t="shared" si="133"/>
        <v>475823</v>
      </c>
      <c r="J259" s="59">
        <f t="shared" si="133"/>
        <v>475823</v>
      </c>
      <c r="K259" s="29">
        <f t="shared" si="133"/>
        <v>353866</v>
      </c>
      <c r="L259" s="29">
        <f t="shared" si="133"/>
        <v>121957</v>
      </c>
      <c r="M259" s="29">
        <f t="shared" si="133"/>
        <v>475823</v>
      </c>
      <c r="N259" s="29">
        <f t="shared" si="133"/>
        <v>0</v>
      </c>
      <c r="O259" s="68">
        <f t="shared" ref="O259:O275" si="134">M259/I259*100</f>
        <v>100</v>
      </c>
      <c r="P259" s="71">
        <f t="shared" si="111"/>
        <v>0</v>
      </c>
      <c r="Q259" s="35">
        <f t="shared" si="112"/>
        <v>0</v>
      </c>
      <c r="R259" s="72">
        <v>1103814</v>
      </c>
      <c r="S259" s="72">
        <f t="shared" si="113"/>
        <v>2351779</v>
      </c>
      <c r="T259" s="62">
        <f t="shared" si="132"/>
        <v>2351779</v>
      </c>
    </row>
    <row r="260" spans="1:20">
      <c r="A260" s="100"/>
      <c r="B260" s="9"/>
      <c r="C260" s="9"/>
      <c r="D260" s="69"/>
      <c r="E260" s="69">
        <v>159</v>
      </c>
      <c r="F260" s="136" t="s">
        <v>84</v>
      </c>
      <c r="G260" s="26">
        <f>3730007-768592-133813</f>
        <v>2827602</v>
      </c>
      <c r="H260" s="26">
        <v>475823</v>
      </c>
      <c r="I260" s="26">
        <v>475823</v>
      </c>
      <c r="J260" s="105">
        <f>M260</f>
        <v>475823</v>
      </c>
      <c r="K260" s="35">
        <f>'1.06.'!M260</f>
        <v>353866</v>
      </c>
      <c r="L260" s="27">
        <v>121957</v>
      </c>
      <c r="M260" s="93">
        <f t="shared" si="122"/>
        <v>475823</v>
      </c>
      <c r="N260" s="93">
        <f t="shared" ref="N260" si="135">I260-M260</f>
        <v>0</v>
      </c>
      <c r="O260" s="70">
        <f t="shared" si="134"/>
        <v>100</v>
      </c>
      <c r="P260" s="71">
        <f t="shared" si="111"/>
        <v>0</v>
      </c>
      <c r="Q260" s="35">
        <f t="shared" si="112"/>
        <v>0</v>
      </c>
      <c r="R260" s="72">
        <v>1103815</v>
      </c>
      <c r="S260" s="72">
        <f t="shared" si="113"/>
        <v>2351779</v>
      </c>
      <c r="T260" s="62">
        <f t="shared" si="132"/>
        <v>2351779</v>
      </c>
    </row>
    <row r="261" spans="1:20">
      <c r="A261" s="100"/>
      <c r="B261" s="8"/>
      <c r="C261" s="8"/>
      <c r="D261" s="17" t="s">
        <v>32</v>
      </c>
      <c r="E261" s="10"/>
      <c r="F261" s="140" t="s">
        <v>131</v>
      </c>
      <c r="G261" s="59">
        <f>G262+G263</f>
        <v>77035</v>
      </c>
      <c r="H261" s="59">
        <f t="shared" ref="H261:N261" si="136">H262+H263</f>
        <v>16571</v>
      </c>
      <c r="I261" s="59">
        <f t="shared" si="136"/>
        <v>13422</v>
      </c>
      <c r="J261" s="29">
        <f t="shared" si="136"/>
        <v>16544.939480000001</v>
      </c>
      <c r="K261" s="59">
        <f t="shared" si="136"/>
        <v>1939.7355</v>
      </c>
      <c r="L261" s="59">
        <f t="shared" si="136"/>
        <v>11482.263080000001</v>
      </c>
      <c r="M261" s="29">
        <f t="shared" si="136"/>
        <v>13421.998579999999</v>
      </c>
      <c r="N261" s="29">
        <f t="shared" si="136"/>
        <v>1.4200000005075708E-3</v>
      </c>
      <c r="O261" s="68">
        <f t="shared" ref="O261" si="137">O262</f>
        <v>99.99998636026686</v>
      </c>
      <c r="P261" s="71">
        <f t="shared" si="111"/>
        <v>3122.9409000000014</v>
      </c>
      <c r="Q261" s="35">
        <f t="shared" si="112"/>
        <v>26.060519999999087</v>
      </c>
      <c r="R261" s="72">
        <v>1103816</v>
      </c>
      <c r="S261" s="72">
        <f t="shared" si="113"/>
        <v>63613.001420000001</v>
      </c>
      <c r="T261" s="62">
        <f t="shared" si="132"/>
        <v>60490.060519999999</v>
      </c>
    </row>
    <row r="262" spans="1:20">
      <c r="A262" s="100"/>
      <c r="B262" s="9"/>
      <c r="C262" s="9"/>
      <c r="D262" s="69"/>
      <c r="E262" s="69">
        <v>159</v>
      </c>
      <c r="F262" s="136" t="s">
        <v>84</v>
      </c>
      <c r="G262" s="26">
        <f>32846+12909</f>
        <v>45755</v>
      </c>
      <c r="H262" s="26">
        <v>9894</v>
      </c>
      <c r="I262" s="26">
        <v>6745</v>
      </c>
      <c r="J262" s="105">
        <v>9867.9399799999992</v>
      </c>
      <c r="K262" s="35">
        <f>'1.06.'!M262</f>
        <v>0</v>
      </c>
      <c r="L262" s="27">
        <v>6744.9990799999996</v>
      </c>
      <c r="M262" s="93">
        <f t="shared" si="122"/>
        <v>6744.9990799999996</v>
      </c>
      <c r="N262" s="93">
        <f>I262-M262</f>
        <v>9.200000004057074E-4</v>
      </c>
      <c r="O262" s="70">
        <f t="shared" si="134"/>
        <v>99.99998636026686</v>
      </c>
      <c r="P262" s="71">
        <f t="shared" si="111"/>
        <v>3122.9408999999996</v>
      </c>
      <c r="Q262" s="35">
        <f t="shared" si="112"/>
        <v>26.060020000000804</v>
      </c>
      <c r="R262" s="72">
        <v>1103817</v>
      </c>
      <c r="S262" s="72">
        <f t="shared" si="113"/>
        <v>39010.000919999999</v>
      </c>
      <c r="T262" s="62">
        <f t="shared" si="132"/>
        <v>35887.060020000004</v>
      </c>
    </row>
    <row r="263" spans="1:20">
      <c r="A263" s="100"/>
      <c r="B263" s="9"/>
      <c r="C263" s="9"/>
      <c r="D263" s="69"/>
      <c r="E263" s="69">
        <v>322</v>
      </c>
      <c r="F263" s="133" t="s">
        <v>82</v>
      </c>
      <c r="G263" s="26">
        <v>31280</v>
      </c>
      <c r="H263" s="26">
        <v>6677</v>
      </c>
      <c r="I263" s="26">
        <v>6677</v>
      </c>
      <c r="J263" s="105">
        <v>6676.9994999999999</v>
      </c>
      <c r="K263" s="35">
        <f>'1.06.'!M263</f>
        <v>1939.7355</v>
      </c>
      <c r="L263" s="27">
        <v>4737.2640000000001</v>
      </c>
      <c r="M263" s="93">
        <f t="shared" si="122"/>
        <v>6676.9994999999999</v>
      </c>
      <c r="N263" s="93">
        <f>I263-M263</f>
        <v>5.0000000010186341E-4</v>
      </c>
      <c r="O263" s="70">
        <f t="shared" si="134"/>
        <v>99.999992511607005</v>
      </c>
      <c r="P263" s="71">
        <f t="shared" si="111"/>
        <v>0</v>
      </c>
      <c r="Q263" s="35">
        <f t="shared" si="112"/>
        <v>5.0000000010186341E-4</v>
      </c>
      <c r="R263" s="72">
        <v>1103818</v>
      </c>
      <c r="S263" s="72">
        <f t="shared" si="113"/>
        <v>24603.000500000002</v>
      </c>
    </row>
    <row r="264" spans="1:20" ht="25.5">
      <c r="A264" s="100"/>
      <c r="B264" s="8"/>
      <c r="C264" s="8"/>
      <c r="D264" s="17" t="s">
        <v>33</v>
      </c>
      <c r="E264" s="10"/>
      <c r="F264" s="140" t="s">
        <v>132</v>
      </c>
      <c r="G264" s="59">
        <f>G265+G273+G274+G275+G276</f>
        <v>3944155</v>
      </c>
      <c r="H264" s="59">
        <f t="shared" ref="H264:N264" si="138">H265+H273+H274+H275+H276</f>
        <v>1051549</v>
      </c>
      <c r="I264" s="59">
        <f t="shared" si="138"/>
        <v>1051549</v>
      </c>
      <c r="J264" s="29">
        <f t="shared" si="138"/>
        <v>1051548.2490300001</v>
      </c>
      <c r="K264" s="59">
        <f t="shared" si="138"/>
        <v>827815.44903000002</v>
      </c>
      <c r="L264" s="59">
        <f t="shared" si="138"/>
        <v>223732.8</v>
      </c>
      <c r="M264" s="29">
        <f t="shared" si="138"/>
        <v>1051548.2490300001</v>
      </c>
      <c r="N264" s="29">
        <f t="shared" si="138"/>
        <v>0.75097000005189329</v>
      </c>
      <c r="O264" s="68">
        <f>M264/I264*100</f>
        <v>99.999928584402625</v>
      </c>
      <c r="P264" s="71">
        <f t="shared" si="111"/>
        <v>0</v>
      </c>
      <c r="Q264" s="35">
        <f t="shared" si="112"/>
        <v>0.75096999993547797</v>
      </c>
      <c r="R264" s="72">
        <v>1103819</v>
      </c>
      <c r="S264" s="72">
        <f t="shared" si="113"/>
        <v>2892606.7509699999</v>
      </c>
      <c r="T264" s="62">
        <f t="shared" si="132"/>
        <v>2892606.7509699999</v>
      </c>
    </row>
    <row r="265" spans="1:20">
      <c r="A265" s="100"/>
      <c r="B265" s="9"/>
      <c r="C265" s="9"/>
      <c r="D265" s="69"/>
      <c r="E265" s="69">
        <v>159</v>
      </c>
      <c r="F265" s="141" t="s">
        <v>84</v>
      </c>
      <c r="G265" s="26">
        <f>SUM(G266:G272)</f>
        <v>3138252</v>
      </c>
      <c r="H265" s="26">
        <f>SUM(H266:H272)</f>
        <v>994761</v>
      </c>
      <c r="I265" s="26">
        <f>SUM(I266:I272)</f>
        <v>994761</v>
      </c>
      <c r="J265" s="26">
        <f t="shared" ref="J265:K265" si="139">SUM(J266:J272)</f>
        <v>994760.99903000006</v>
      </c>
      <c r="K265" s="26">
        <f t="shared" si="139"/>
        <v>807124.69903000002</v>
      </c>
      <c r="L265" s="27">
        <f t="shared" ref="L265:N265" si="140">SUM(L266:L272)</f>
        <v>187636.3</v>
      </c>
      <c r="M265" s="27">
        <f t="shared" si="140"/>
        <v>994760.99903000006</v>
      </c>
      <c r="N265" s="27">
        <f t="shared" si="140"/>
        <v>9.7000005189329386E-4</v>
      </c>
      <c r="O265" s="70">
        <f t="shared" si="134"/>
        <v>99.999999902489151</v>
      </c>
      <c r="P265" s="71">
        <f t="shared" si="111"/>
        <v>0</v>
      </c>
      <c r="Q265" s="35">
        <f t="shared" si="112"/>
        <v>9.6999993547797203E-4</v>
      </c>
      <c r="R265" s="72">
        <v>1103820</v>
      </c>
      <c r="S265" s="72">
        <f t="shared" si="113"/>
        <v>2143491.0009699999</v>
      </c>
      <c r="T265" s="62">
        <f t="shared" si="132"/>
        <v>2143491.0009699999</v>
      </c>
    </row>
    <row r="266" spans="1:20">
      <c r="A266" s="100"/>
      <c r="B266" s="9"/>
      <c r="C266" s="9"/>
      <c r="D266" s="69"/>
      <c r="E266" s="69"/>
      <c r="F266" s="55" t="s">
        <v>49</v>
      </c>
      <c r="G266" s="26">
        <v>1124154</v>
      </c>
      <c r="H266" s="61">
        <f>2050+93053-1993.6+82986.9+75619.1+73890.1+68932.7</f>
        <v>394538.2</v>
      </c>
      <c r="I266" s="61">
        <f>H266</f>
        <v>394538.2</v>
      </c>
      <c r="J266" s="105">
        <f>M266</f>
        <v>394538.2</v>
      </c>
      <c r="K266" s="35">
        <f>'1.06.'!M266</f>
        <v>325605.5</v>
      </c>
      <c r="L266" s="61">
        <v>68932.7</v>
      </c>
      <c r="M266" s="93">
        <f>K266+L266</f>
        <v>394538.2</v>
      </c>
      <c r="N266" s="93">
        <f t="shared" ref="N266:N272" si="141">I266-M266</f>
        <v>0</v>
      </c>
      <c r="O266" s="70">
        <f t="shared" si="134"/>
        <v>100</v>
      </c>
      <c r="P266" s="71">
        <f t="shared" si="111"/>
        <v>0</v>
      </c>
      <c r="Q266" s="35">
        <f t="shared" si="112"/>
        <v>0</v>
      </c>
      <c r="R266" s="72">
        <v>1103821</v>
      </c>
      <c r="S266" s="72">
        <f t="shared" si="113"/>
        <v>729615.8</v>
      </c>
    </row>
    <row r="267" spans="1:20">
      <c r="A267" s="100"/>
      <c r="B267" s="9"/>
      <c r="C267" s="9"/>
      <c r="D267" s="69"/>
      <c r="E267" s="69"/>
      <c r="F267" s="55" t="s">
        <v>50</v>
      </c>
      <c r="G267" s="26">
        <v>130399</v>
      </c>
      <c r="H267" s="61">
        <f>26080-3722.9+19165.6+15755.3+13651.8+12342.2</f>
        <v>83272</v>
      </c>
      <c r="I267" s="61">
        <f t="shared" ref="I267:I272" si="142">H267</f>
        <v>83272</v>
      </c>
      <c r="J267" s="105">
        <f t="shared" ref="J267:J272" si="143">M267</f>
        <v>83272</v>
      </c>
      <c r="K267" s="35">
        <f>'1.06.'!M267</f>
        <v>70929.8</v>
      </c>
      <c r="L267" s="61">
        <v>12342.2</v>
      </c>
      <c r="M267" s="93">
        <f t="shared" ref="M267:M272" si="144">K267+L267</f>
        <v>83272</v>
      </c>
      <c r="N267" s="93">
        <f t="shared" si="141"/>
        <v>0</v>
      </c>
      <c r="O267" s="70">
        <f t="shared" si="134"/>
        <v>100</v>
      </c>
      <c r="P267" s="71">
        <f t="shared" si="111"/>
        <v>0</v>
      </c>
      <c r="Q267" s="35">
        <f t="shared" si="112"/>
        <v>0</v>
      </c>
      <c r="R267" s="72">
        <v>1103822</v>
      </c>
      <c r="S267" s="72">
        <f t="shared" si="113"/>
        <v>47127</v>
      </c>
    </row>
    <row r="268" spans="1:20">
      <c r="A268" s="100"/>
      <c r="B268" s="9"/>
      <c r="C268" s="9"/>
      <c r="D268" s="69"/>
      <c r="E268" s="69"/>
      <c r="F268" s="55" t="s">
        <v>51</v>
      </c>
      <c r="G268" s="26"/>
      <c r="H268" s="61"/>
      <c r="I268" s="61">
        <f t="shared" si="142"/>
        <v>0</v>
      </c>
      <c r="J268" s="105">
        <f t="shared" si="143"/>
        <v>0</v>
      </c>
      <c r="K268" s="35">
        <f>'1.06.'!M268</f>
        <v>0</v>
      </c>
      <c r="L268" s="61"/>
      <c r="M268" s="93">
        <f t="shared" si="144"/>
        <v>0</v>
      </c>
      <c r="N268" s="93">
        <f t="shared" si="141"/>
        <v>0</v>
      </c>
      <c r="O268" s="70" t="e">
        <f t="shared" si="134"/>
        <v>#DIV/0!</v>
      </c>
      <c r="P268" s="71">
        <f t="shared" si="111"/>
        <v>0</v>
      </c>
      <c r="Q268" s="35">
        <f t="shared" si="112"/>
        <v>0</v>
      </c>
      <c r="R268" s="72">
        <v>1103823</v>
      </c>
      <c r="S268" s="72">
        <f t="shared" si="113"/>
        <v>0</v>
      </c>
    </row>
    <row r="269" spans="1:20">
      <c r="A269" s="100"/>
      <c r="B269" s="9"/>
      <c r="C269" s="9"/>
      <c r="D269" s="69"/>
      <c r="E269" s="69"/>
      <c r="F269" s="55" t="s">
        <v>52</v>
      </c>
      <c r="G269" s="26"/>
      <c r="H269" s="61"/>
      <c r="I269" s="61">
        <f t="shared" si="142"/>
        <v>0</v>
      </c>
      <c r="J269" s="105">
        <f t="shared" si="143"/>
        <v>0</v>
      </c>
      <c r="K269" s="35">
        <f>'1.06.'!M269</f>
        <v>0</v>
      </c>
      <c r="L269" s="61"/>
      <c r="M269" s="93">
        <f t="shared" si="144"/>
        <v>0</v>
      </c>
      <c r="N269" s="93">
        <f t="shared" si="141"/>
        <v>0</v>
      </c>
      <c r="O269" s="70" t="e">
        <f t="shared" si="134"/>
        <v>#DIV/0!</v>
      </c>
      <c r="P269" s="71">
        <f t="shared" si="111"/>
        <v>0</v>
      </c>
      <c r="Q269" s="35">
        <f t="shared" si="112"/>
        <v>0</v>
      </c>
      <c r="R269" s="72">
        <v>1103824</v>
      </c>
      <c r="S269" s="72">
        <f t="shared" si="113"/>
        <v>0</v>
      </c>
    </row>
    <row r="270" spans="1:20">
      <c r="A270" s="100"/>
      <c r="B270" s="9"/>
      <c r="C270" s="9"/>
      <c r="D270" s="69"/>
      <c r="E270" s="69"/>
      <c r="F270" s="55" t="s">
        <v>53</v>
      </c>
      <c r="G270" s="26">
        <v>236664</v>
      </c>
      <c r="H270" s="61">
        <f>2906-1667.6+4700+5843.7+9331.6+10362.3</f>
        <v>31475.999999999996</v>
      </c>
      <c r="I270" s="61">
        <f t="shared" si="142"/>
        <v>31475.999999999996</v>
      </c>
      <c r="J270" s="105">
        <f t="shared" si="143"/>
        <v>31475.999999999996</v>
      </c>
      <c r="K270" s="35">
        <f>'1.06.'!M270</f>
        <v>21113.699999999997</v>
      </c>
      <c r="L270" s="61">
        <v>10362.299999999999</v>
      </c>
      <c r="M270" s="93">
        <f t="shared" si="144"/>
        <v>31475.999999999996</v>
      </c>
      <c r="N270" s="93">
        <f t="shared" si="141"/>
        <v>0</v>
      </c>
      <c r="O270" s="70">
        <f t="shared" si="134"/>
        <v>100</v>
      </c>
      <c r="P270" s="71">
        <f t="shared" si="111"/>
        <v>0</v>
      </c>
      <c r="Q270" s="35">
        <f t="shared" si="112"/>
        <v>0</v>
      </c>
      <c r="R270" s="72">
        <v>1103825</v>
      </c>
      <c r="S270" s="72">
        <f t="shared" si="113"/>
        <v>205188</v>
      </c>
    </row>
    <row r="271" spans="1:20">
      <c r="A271" s="100"/>
      <c r="B271" s="9"/>
      <c r="C271" s="9"/>
      <c r="D271" s="69"/>
      <c r="E271" s="69"/>
      <c r="F271" s="55" t="s">
        <v>54</v>
      </c>
      <c r="G271" s="26">
        <v>27612</v>
      </c>
      <c r="H271" s="61">
        <f>2111-228.7+1923.4+1926.2+1992.5+2070</f>
        <v>9794.4</v>
      </c>
      <c r="I271" s="61">
        <f t="shared" si="142"/>
        <v>9794.4</v>
      </c>
      <c r="J271" s="105">
        <f t="shared" si="143"/>
        <v>9794.4</v>
      </c>
      <c r="K271" s="35">
        <f>'1.06.'!M271</f>
        <v>7724.4</v>
      </c>
      <c r="L271" s="61">
        <v>2070</v>
      </c>
      <c r="M271" s="93">
        <f t="shared" si="144"/>
        <v>9794.4</v>
      </c>
      <c r="N271" s="93">
        <f t="shared" si="141"/>
        <v>0</v>
      </c>
      <c r="O271" s="70">
        <f t="shared" si="134"/>
        <v>100</v>
      </c>
      <c r="P271" s="71">
        <f t="shared" si="111"/>
        <v>0</v>
      </c>
      <c r="Q271" s="35">
        <f t="shared" si="112"/>
        <v>0</v>
      </c>
      <c r="R271" s="72">
        <v>1103826</v>
      </c>
      <c r="S271" s="72">
        <f t="shared" si="113"/>
        <v>17817.599999999999</v>
      </c>
    </row>
    <row r="272" spans="1:20">
      <c r="A272" s="100"/>
      <c r="B272" s="9"/>
      <c r="C272" s="9"/>
      <c r="D272" s="69"/>
      <c r="E272" s="69"/>
      <c r="F272" s="55" t="s">
        <v>55</v>
      </c>
      <c r="G272" s="26">
        <f>1186640+432783</f>
        <v>1619423</v>
      </c>
      <c r="H272" s="61">
        <f>101338-7295.2+96749.1+95542.4+95417+93929.1</f>
        <v>475680.4</v>
      </c>
      <c r="I272" s="61">
        <f t="shared" si="142"/>
        <v>475680.4</v>
      </c>
      <c r="J272" s="105">
        <f t="shared" si="143"/>
        <v>475680.39902999997</v>
      </c>
      <c r="K272" s="35">
        <f>'1.06.'!M272</f>
        <v>381751.29902999999</v>
      </c>
      <c r="L272" s="61">
        <v>93929.1</v>
      </c>
      <c r="M272" s="93">
        <f t="shared" si="144"/>
        <v>475680.39902999997</v>
      </c>
      <c r="N272" s="93">
        <f t="shared" si="141"/>
        <v>9.7000005189329386E-4</v>
      </c>
      <c r="O272" s="70">
        <f t="shared" si="134"/>
        <v>99.999999796081568</v>
      </c>
      <c r="P272" s="71">
        <f t="shared" si="111"/>
        <v>0</v>
      </c>
      <c r="Q272" s="35">
        <f t="shared" si="112"/>
        <v>9.7000005189329386E-4</v>
      </c>
      <c r="R272" s="72">
        <v>1103827</v>
      </c>
      <c r="S272" s="72">
        <f t="shared" si="113"/>
        <v>1143742.60097</v>
      </c>
    </row>
    <row r="273" spans="1:20">
      <c r="A273" s="100"/>
      <c r="B273" s="9"/>
      <c r="C273" s="9"/>
      <c r="D273" s="69"/>
      <c r="E273" s="69">
        <v>169</v>
      </c>
      <c r="F273" s="136" t="s">
        <v>103</v>
      </c>
      <c r="G273" s="26">
        <f>503430+67470-570900</f>
        <v>0</v>
      </c>
      <c r="H273" s="26"/>
      <c r="I273" s="26"/>
      <c r="J273" s="105">
        <f t="shared" ref="J273" si="145">M273</f>
        <v>0</v>
      </c>
      <c r="K273" s="35">
        <f>'1.06.'!M273</f>
        <v>0</v>
      </c>
      <c r="L273" s="27"/>
      <c r="M273" s="93">
        <f>K273+L273</f>
        <v>0</v>
      </c>
      <c r="N273" s="93">
        <f>I273-M273</f>
        <v>0</v>
      </c>
      <c r="O273" s="70" t="e">
        <f t="shared" si="134"/>
        <v>#DIV/0!</v>
      </c>
      <c r="P273" s="71">
        <f t="shared" si="111"/>
        <v>0</v>
      </c>
      <c r="Q273" s="35">
        <f t="shared" si="112"/>
        <v>0</v>
      </c>
      <c r="R273" s="72">
        <v>1103828</v>
      </c>
      <c r="S273" s="72">
        <f t="shared" si="113"/>
        <v>0</v>
      </c>
      <c r="T273" s="62">
        <f t="shared" si="132"/>
        <v>0</v>
      </c>
    </row>
    <row r="274" spans="1:20" ht="25.5">
      <c r="A274" s="100"/>
      <c r="B274" s="9"/>
      <c r="C274" s="9"/>
      <c r="D274" s="69"/>
      <c r="E274" s="69">
        <v>311</v>
      </c>
      <c r="F274" s="3" t="s">
        <v>133</v>
      </c>
      <c r="G274" s="26"/>
      <c r="H274" s="26"/>
      <c r="I274" s="26"/>
      <c r="J274" s="105">
        <f>M274</f>
        <v>0</v>
      </c>
      <c r="K274" s="35">
        <f>'1.06.'!M274</f>
        <v>0</v>
      </c>
      <c r="L274" s="27"/>
      <c r="M274" s="93">
        <f>K274+L274</f>
        <v>0</v>
      </c>
      <c r="N274" s="93">
        <f>I274-M274</f>
        <v>0</v>
      </c>
      <c r="O274" s="70" t="e">
        <f t="shared" si="134"/>
        <v>#DIV/0!</v>
      </c>
      <c r="P274" s="71">
        <f t="shared" si="111"/>
        <v>0</v>
      </c>
      <c r="Q274" s="35">
        <f t="shared" si="112"/>
        <v>0</v>
      </c>
      <c r="R274" s="72">
        <v>1103829</v>
      </c>
      <c r="S274" s="72">
        <f t="shared" si="113"/>
        <v>0</v>
      </c>
    </row>
    <row r="275" spans="1:20">
      <c r="A275" s="100"/>
      <c r="B275" s="9"/>
      <c r="C275" s="9"/>
      <c r="D275" s="69"/>
      <c r="E275" s="69">
        <v>313</v>
      </c>
      <c r="F275" s="3" t="s">
        <v>165</v>
      </c>
      <c r="G275" s="26">
        <f>10853+224150</f>
        <v>235003</v>
      </c>
      <c r="H275" s="26">
        <v>56788</v>
      </c>
      <c r="I275" s="26">
        <v>56788</v>
      </c>
      <c r="J275" s="105">
        <f>M275</f>
        <v>56787.25</v>
      </c>
      <c r="K275" s="35">
        <f>'1.06.'!M275</f>
        <v>20690.75</v>
      </c>
      <c r="L275" s="27">
        <v>36096.5</v>
      </c>
      <c r="M275" s="93">
        <f>K275+L275</f>
        <v>56787.25</v>
      </c>
      <c r="N275" s="93">
        <f>I275-M275</f>
        <v>0.75</v>
      </c>
      <c r="O275" s="70">
        <f t="shared" si="134"/>
        <v>99.998679298443335</v>
      </c>
      <c r="P275" s="71">
        <f t="shared" si="111"/>
        <v>0</v>
      </c>
      <c r="Q275" s="35">
        <f t="shared" si="112"/>
        <v>0.75</v>
      </c>
      <c r="R275" s="72">
        <v>1103829</v>
      </c>
      <c r="S275" s="72">
        <f t="shared" si="113"/>
        <v>178215.75</v>
      </c>
    </row>
    <row r="276" spans="1:20" ht="25.5">
      <c r="A276" s="100"/>
      <c r="B276" s="9"/>
      <c r="C276" s="9"/>
      <c r="D276" s="69"/>
      <c r="E276" s="69">
        <v>372</v>
      </c>
      <c r="F276" s="3" t="s">
        <v>169</v>
      </c>
      <c r="G276" s="26">
        <v>570900</v>
      </c>
      <c r="H276" s="26"/>
      <c r="I276" s="26"/>
      <c r="J276" s="105"/>
      <c r="K276" s="35">
        <f>'1.06.'!M276</f>
        <v>0</v>
      </c>
      <c r="L276" s="27"/>
      <c r="M276" s="93">
        <f>K276+L276</f>
        <v>0</v>
      </c>
      <c r="N276" s="93">
        <f>I276-M276</f>
        <v>0</v>
      </c>
      <c r="O276" s="70" t="e">
        <f t="shared" ref="O276" si="146">M276/I276*100</f>
        <v>#DIV/0!</v>
      </c>
      <c r="P276" s="71">
        <f t="shared" ref="P276" si="147">J276-M276</f>
        <v>0</v>
      </c>
      <c r="Q276" s="35">
        <f t="shared" ref="Q276" si="148">H276-J276</f>
        <v>0</v>
      </c>
      <c r="R276" s="72">
        <v>1103830</v>
      </c>
      <c r="S276" s="72">
        <f t="shared" ref="S276" si="149">G276-M276</f>
        <v>570900</v>
      </c>
    </row>
    <row r="277" spans="1:20" s="73" customFormat="1" ht="25.5">
      <c r="A277" s="103"/>
      <c r="B277" s="8"/>
      <c r="C277" s="17" t="s">
        <v>34</v>
      </c>
      <c r="D277" s="21"/>
      <c r="E277" s="21"/>
      <c r="F277" s="125" t="s">
        <v>134</v>
      </c>
      <c r="G277" s="23">
        <f>G278</f>
        <v>10428</v>
      </c>
      <c r="H277" s="23">
        <f t="shared" ref="H277:O277" si="150">H278</f>
        <v>3892.5</v>
      </c>
      <c r="I277" s="23">
        <f t="shared" si="150"/>
        <v>3892.5</v>
      </c>
      <c r="J277" s="38">
        <f t="shared" si="150"/>
        <v>3892.5</v>
      </c>
      <c r="K277" s="38">
        <f t="shared" si="150"/>
        <v>2595</v>
      </c>
      <c r="L277" s="23">
        <f t="shared" si="150"/>
        <v>1297.5</v>
      </c>
      <c r="M277" s="24">
        <f t="shared" si="150"/>
        <v>3892.5</v>
      </c>
      <c r="N277" s="24">
        <f t="shared" si="150"/>
        <v>0</v>
      </c>
      <c r="O277" s="39">
        <f t="shared" si="150"/>
        <v>100</v>
      </c>
      <c r="P277" s="71">
        <f t="shared" si="111"/>
        <v>0</v>
      </c>
      <c r="Q277" s="35">
        <f t="shared" si="112"/>
        <v>0</v>
      </c>
      <c r="R277" s="72">
        <v>1103830</v>
      </c>
      <c r="S277" s="72">
        <f t="shared" si="113"/>
        <v>6535.5</v>
      </c>
      <c r="T277" s="62">
        <f t="shared" si="132"/>
        <v>6535.5</v>
      </c>
    </row>
    <row r="278" spans="1:20">
      <c r="A278" s="100"/>
      <c r="B278" s="8"/>
      <c r="C278" s="8"/>
      <c r="D278" s="17" t="s">
        <v>7</v>
      </c>
      <c r="E278" s="10"/>
      <c r="F278" s="135" t="s">
        <v>85</v>
      </c>
      <c r="G278" s="59">
        <f>G279+G280</f>
        <v>10428</v>
      </c>
      <c r="H278" s="59">
        <f t="shared" ref="H278:N278" si="151">H279+H280</f>
        <v>3892.5</v>
      </c>
      <c r="I278" s="59">
        <f t="shared" si="151"/>
        <v>3892.5</v>
      </c>
      <c r="J278" s="59">
        <f t="shared" si="151"/>
        <v>3892.5</v>
      </c>
      <c r="K278" s="59">
        <f t="shared" si="151"/>
        <v>2595</v>
      </c>
      <c r="L278" s="59">
        <f t="shared" si="151"/>
        <v>1297.5</v>
      </c>
      <c r="M278" s="29">
        <f t="shared" si="151"/>
        <v>3892.5</v>
      </c>
      <c r="N278" s="29">
        <f t="shared" si="151"/>
        <v>0</v>
      </c>
      <c r="O278" s="68">
        <f>M278/I278*100</f>
        <v>100</v>
      </c>
      <c r="P278" s="71">
        <f t="shared" si="111"/>
        <v>0</v>
      </c>
      <c r="Q278" s="35">
        <f t="shared" si="112"/>
        <v>0</v>
      </c>
      <c r="R278" s="72">
        <v>1103831</v>
      </c>
      <c r="S278" s="72">
        <f t="shared" si="113"/>
        <v>6535.5</v>
      </c>
      <c r="T278" s="62">
        <f t="shared" si="132"/>
        <v>6535.5</v>
      </c>
    </row>
    <row r="279" spans="1:20" ht="25.5">
      <c r="A279" s="100"/>
      <c r="B279" s="9"/>
      <c r="C279" s="9"/>
      <c r="D279" s="69"/>
      <c r="E279" s="69">
        <v>311</v>
      </c>
      <c r="F279" s="142" t="s">
        <v>133</v>
      </c>
      <c r="G279" s="26">
        <f>10428-10428</f>
        <v>0</v>
      </c>
      <c r="H279" s="26"/>
      <c r="I279" s="26"/>
      <c r="J279" s="105">
        <f>M279</f>
        <v>0</v>
      </c>
      <c r="K279" s="35">
        <f>'1.06.'!M279</f>
        <v>0</v>
      </c>
      <c r="L279" s="27"/>
      <c r="M279" s="93">
        <f>K279+L279</f>
        <v>0</v>
      </c>
      <c r="N279" s="93">
        <f>I279-M279</f>
        <v>0</v>
      </c>
      <c r="O279" s="70" t="e">
        <f>M279/I279*100</f>
        <v>#DIV/0!</v>
      </c>
      <c r="P279" s="71">
        <f t="shared" si="111"/>
        <v>0</v>
      </c>
      <c r="Q279" s="35">
        <f t="shared" si="112"/>
        <v>0</v>
      </c>
      <c r="R279" s="72">
        <v>1103832</v>
      </c>
      <c r="S279" s="72">
        <f t="shared" si="113"/>
        <v>0</v>
      </c>
      <c r="T279" s="62">
        <f t="shared" si="132"/>
        <v>0</v>
      </c>
    </row>
    <row r="280" spans="1:20">
      <c r="A280" s="100"/>
      <c r="B280" s="9"/>
      <c r="C280" s="9"/>
      <c r="D280" s="69"/>
      <c r="E280" s="69">
        <v>312</v>
      </c>
      <c r="F280" s="3" t="s">
        <v>166</v>
      </c>
      <c r="G280" s="26">
        <v>10428</v>
      </c>
      <c r="H280" s="26">
        <v>3892.5</v>
      </c>
      <c r="I280" s="26">
        <v>3892.5</v>
      </c>
      <c r="J280" s="105">
        <f>M280</f>
        <v>3892.5</v>
      </c>
      <c r="K280" s="35">
        <f>'1.06.'!M280</f>
        <v>2595</v>
      </c>
      <c r="L280" s="27">
        <v>1297.5</v>
      </c>
      <c r="M280" s="93">
        <f>K280+L280</f>
        <v>3892.5</v>
      </c>
      <c r="N280" s="93">
        <f>I280-M280</f>
        <v>0</v>
      </c>
      <c r="O280" s="70">
        <f>M280/I280*100</f>
        <v>100</v>
      </c>
      <c r="P280" s="71">
        <f t="shared" si="111"/>
        <v>0</v>
      </c>
      <c r="Q280" s="35">
        <f t="shared" si="112"/>
        <v>0</v>
      </c>
      <c r="R280" s="72">
        <v>1103833</v>
      </c>
      <c r="S280" s="72">
        <f t="shared" si="113"/>
        <v>6535.5</v>
      </c>
    </row>
    <row r="281" spans="1:20" s="73" customFormat="1" ht="25.5">
      <c r="A281" s="8"/>
      <c r="B281" s="58">
        <v>1268</v>
      </c>
      <c r="C281" s="8"/>
      <c r="D281" s="21"/>
      <c r="E281" s="21"/>
      <c r="F281" s="143" t="s">
        <v>135</v>
      </c>
      <c r="G281" s="59">
        <f>G282+G310</f>
        <v>603992</v>
      </c>
      <c r="H281" s="59">
        <f t="shared" ref="H281:N281" si="152">H282+H310</f>
        <v>177346.7</v>
      </c>
      <c r="I281" s="59">
        <f t="shared" si="152"/>
        <v>126422.9</v>
      </c>
      <c r="J281" s="29">
        <f t="shared" si="152"/>
        <v>174848.56611000001</v>
      </c>
      <c r="K281" s="29">
        <f>'1.02.'!M262</f>
        <v>2434.3649999999998</v>
      </c>
      <c r="L281" s="60">
        <f t="shared" si="152"/>
        <v>36743.74093</v>
      </c>
      <c r="M281" s="29">
        <f t="shared" si="152"/>
        <v>117969.89004</v>
      </c>
      <c r="N281" s="29">
        <f t="shared" si="152"/>
        <v>8453.0099600000012</v>
      </c>
      <c r="O281" s="68">
        <f t="shared" ref="O281:O285" si="153">M281/I281*100</f>
        <v>93.313703482517809</v>
      </c>
      <c r="P281" s="71">
        <f t="shared" si="111"/>
        <v>56878.676070000016</v>
      </c>
      <c r="Q281" s="35">
        <f t="shared" si="112"/>
        <v>2498.1338899999973</v>
      </c>
      <c r="R281" s="72">
        <v>1103833</v>
      </c>
      <c r="S281" s="72">
        <f t="shared" si="113"/>
        <v>486022.10996000003</v>
      </c>
      <c r="T281" s="62">
        <f t="shared" si="132"/>
        <v>429143.43388999999</v>
      </c>
    </row>
    <row r="282" spans="1:20" ht="38.25">
      <c r="A282" s="8"/>
      <c r="B282" s="8"/>
      <c r="C282" s="17" t="s">
        <v>38</v>
      </c>
      <c r="D282" s="17"/>
      <c r="E282" s="21"/>
      <c r="F282" s="139" t="s">
        <v>121</v>
      </c>
      <c r="G282" s="42">
        <f>G290</f>
        <v>547045</v>
      </c>
      <c r="H282" s="42">
        <f t="shared" ref="H282:N282" si="154">H290</f>
        <v>147087.70000000001</v>
      </c>
      <c r="I282" s="42">
        <f t="shared" si="154"/>
        <v>98052.5</v>
      </c>
      <c r="J282" s="42">
        <f t="shared" si="154"/>
        <v>146833.59541000001</v>
      </c>
      <c r="K282" s="29">
        <f>'1.02.'!M263</f>
        <v>2434.3649999999998</v>
      </c>
      <c r="L282" s="60">
        <f t="shared" si="154"/>
        <v>36743.74093</v>
      </c>
      <c r="M282" s="29">
        <f t="shared" si="154"/>
        <v>97924.682929999995</v>
      </c>
      <c r="N282" s="29">
        <f t="shared" si="154"/>
        <v>127.8170699999996</v>
      </c>
      <c r="O282" s="68">
        <f t="shared" si="153"/>
        <v>99.869644251803877</v>
      </c>
      <c r="P282" s="71">
        <f t="shared" si="111"/>
        <v>48908.912480000014</v>
      </c>
      <c r="Q282" s="35">
        <f t="shared" si="112"/>
        <v>254.10459000000264</v>
      </c>
      <c r="R282" s="72">
        <v>1103834</v>
      </c>
      <c r="S282" s="72">
        <f t="shared" si="113"/>
        <v>449120.31706999999</v>
      </c>
      <c r="T282" s="62">
        <f t="shared" si="132"/>
        <v>400211.40458999999</v>
      </c>
    </row>
    <row r="283" spans="1:20" hidden="1">
      <c r="A283" s="8"/>
      <c r="B283" s="8"/>
      <c r="C283" s="8"/>
      <c r="D283" s="17" t="s">
        <v>28</v>
      </c>
      <c r="E283" s="10"/>
      <c r="F283" s="135" t="s">
        <v>85</v>
      </c>
      <c r="G283" s="42">
        <f>SUM(G284:G289)</f>
        <v>0</v>
      </c>
      <c r="H283" s="42">
        <f t="shared" ref="H283:N283" si="155">SUM(H284:H289)</f>
        <v>0</v>
      </c>
      <c r="I283" s="42">
        <f t="shared" si="155"/>
        <v>0</v>
      </c>
      <c r="J283" s="33" t="e">
        <f t="shared" si="155"/>
        <v>#REF!</v>
      </c>
      <c r="K283" s="29" t="e">
        <f>'1.02.'!M264</f>
        <v>#REF!</v>
      </c>
      <c r="L283" s="33">
        <f t="shared" si="155"/>
        <v>0</v>
      </c>
      <c r="M283" s="29" t="e">
        <f t="shared" si="155"/>
        <v>#REF!</v>
      </c>
      <c r="N283" s="29" t="e">
        <f t="shared" si="155"/>
        <v>#REF!</v>
      </c>
      <c r="O283" s="68" t="e">
        <f t="shared" si="153"/>
        <v>#REF!</v>
      </c>
      <c r="P283" s="71" t="e">
        <f t="shared" si="111"/>
        <v>#REF!</v>
      </c>
      <c r="Q283" s="35" t="e">
        <f t="shared" si="112"/>
        <v>#REF!</v>
      </c>
      <c r="R283" s="72">
        <v>1103835</v>
      </c>
      <c r="S283" s="72" t="e">
        <f t="shared" si="113"/>
        <v>#REF!</v>
      </c>
      <c r="T283" s="62" t="e">
        <f t="shared" si="132"/>
        <v>#REF!</v>
      </c>
    </row>
    <row r="284" spans="1:20" s="73" customFormat="1" hidden="1">
      <c r="A284" s="9"/>
      <c r="B284" s="9"/>
      <c r="C284" s="9"/>
      <c r="D284" s="69"/>
      <c r="E284" s="69">
        <v>111</v>
      </c>
      <c r="F284" s="3" t="s">
        <v>0</v>
      </c>
      <c r="G284" s="26"/>
      <c r="H284" s="26"/>
      <c r="I284" s="26"/>
      <c r="J284" s="105" t="e">
        <f t="shared" ref="J284:J289" si="156">M284</f>
        <v>#REF!</v>
      </c>
      <c r="K284" s="29" t="e">
        <f>'1.02.'!M265</f>
        <v>#REF!</v>
      </c>
      <c r="L284" s="27"/>
      <c r="M284" s="35" t="e">
        <f t="shared" ref="M284:M289" si="157">K284+L284</f>
        <v>#REF!</v>
      </c>
      <c r="N284" s="35" t="e">
        <f t="shared" ref="N284:N289" si="158">I284-M284</f>
        <v>#REF!</v>
      </c>
      <c r="O284" s="70" t="e">
        <f t="shared" si="153"/>
        <v>#REF!</v>
      </c>
      <c r="P284" s="71" t="e">
        <f t="shared" si="111"/>
        <v>#REF!</v>
      </c>
      <c r="Q284" s="35" t="e">
        <f t="shared" si="112"/>
        <v>#REF!</v>
      </c>
      <c r="R284" s="72">
        <v>1103836</v>
      </c>
      <c r="S284" s="72" t="e">
        <f t="shared" si="113"/>
        <v>#REF!</v>
      </c>
      <c r="T284" s="62" t="e">
        <f t="shared" si="132"/>
        <v>#REF!</v>
      </c>
    </row>
    <row r="285" spans="1:20" hidden="1">
      <c r="A285" s="9"/>
      <c r="B285" s="9"/>
      <c r="C285" s="9"/>
      <c r="D285" s="69"/>
      <c r="E285" s="76">
        <v>113</v>
      </c>
      <c r="F285" s="3" t="s">
        <v>1</v>
      </c>
      <c r="G285" s="26"/>
      <c r="H285" s="26"/>
      <c r="I285" s="26"/>
      <c r="J285" s="105" t="e">
        <f t="shared" si="156"/>
        <v>#REF!</v>
      </c>
      <c r="K285" s="29" t="e">
        <f>'1.02.'!M266</f>
        <v>#REF!</v>
      </c>
      <c r="L285" s="27"/>
      <c r="M285" s="35" t="e">
        <f t="shared" si="157"/>
        <v>#REF!</v>
      </c>
      <c r="N285" s="35" t="e">
        <f t="shared" si="158"/>
        <v>#REF!</v>
      </c>
      <c r="O285" s="70" t="e">
        <f t="shared" si="153"/>
        <v>#REF!</v>
      </c>
      <c r="P285" s="71" t="e">
        <f t="shared" ref="P285:P314" si="159">J285-M285</f>
        <v>#REF!</v>
      </c>
      <c r="Q285" s="35" t="e">
        <f t="shared" ref="Q285:Q314" si="160">H285-J285</f>
        <v>#REF!</v>
      </c>
      <c r="R285" s="72">
        <v>1103837</v>
      </c>
      <c r="S285" s="72" t="e">
        <f t="shared" ref="S285:S314" si="161">G285-M285</f>
        <v>#REF!</v>
      </c>
      <c r="T285" s="62" t="e">
        <f t="shared" si="132"/>
        <v>#REF!</v>
      </c>
    </row>
    <row r="286" spans="1:20" hidden="1">
      <c r="A286" s="9"/>
      <c r="B286" s="9"/>
      <c r="C286" s="9"/>
      <c r="D286" s="69"/>
      <c r="E286" s="69">
        <v>116</v>
      </c>
      <c r="F286" s="3" t="s">
        <v>42</v>
      </c>
      <c r="G286" s="26"/>
      <c r="H286" s="26"/>
      <c r="I286" s="26"/>
      <c r="J286" s="105" t="e">
        <f t="shared" si="156"/>
        <v>#REF!</v>
      </c>
      <c r="K286" s="29" t="e">
        <f>'1.02.'!M267</f>
        <v>#REF!</v>
      </c>
      <c r="L286" s="27"/>
      <c r="M286" s="35" t="e">
        <f t="shared" si="157"/>
        <v>#REF!</v>
      </c>
      <c r="N286" s="35" t="e">
        <f t="shared" si="158"/>
        <v>#REF!</v>
      </c>
      <c r="O286" s="70" t="e">
        <f>M286/I286*100</f>
        <v>#REF!</v>
      </c>
      <c r="P286" s="71" t="e">
        <f t="shared" si="159"/>
        <v>#REF!</v>
      </c>
      <c r="Q286" s="35" t="e">
        <f t="shared" si="160"/>
        <v>#REF!</v>
      </c>
      <c r="R286" s="72">
        <v>1103838</v>
      </c>
      <c r="S286" s="72" t="e">
        <f t="shared" si="161"/>
        <v>#REF!</v>
      </c>
    </row>
    <row r="287" spans="1:20" s="73" customFormat="1" hidden="1">
      <c r="A287" s="9"/>
      <c r="B287" s="9"/>
      <c r="C287" s="9"/>
      <c r="D287" s="69"/>
      <c r="E287" s="69">
        <v>121</v>
      </c>
      <c r="F287" s="3" t="s">
        <v>2</v>
      </c>
      <c r="G287" s="26"/>
      <c r="H287" s="26"/>
      <c r="I287" s="26"/>
      <c r="J287" s="105" t="e">
        <f t="shared" si="156"/>
        <v>#REF!</v>
      </c>
      <c r="K287" s="29" t="e">
        <f>'1.02.'!M268</f>
        <v>#REF!</v>
      </c>
      <c r="L287" s="27"/>
      <c r="M287" s="35" t="e">
        <f t="shared" si="157"/>
        <v>#REF!</v>
      </c>
      <c r="N287" s="35" t="e">
        <f t="shared" si="158"/>
        <v>#REF!</v>
      </c>
      <c r="O287" s="70" t="e">
        <f>M287/I287*100</f>
        <v>#REF!</v>
      </c>
      <c r="P287" s="71" t="e">
        <f t="shared" si="159"/>
        <v>#REF!</v>
      </c>
      <c r="Q287" s="35" t="e">
        <f t="shared" si="160"/>
        <v>#REF!</v>
      </c>
      <c r="R287" s="72">
        <v>1103839</v>
      </c>
      <c r="S287" s="72" t="e">
        <f t="shared" si="161"/>
        <v>#REF!</v>
      </c>
      <c r="T287" s="62" t="e">
        <f t="shared" ref="T287:T291" si="162">G287-J287</f>
        <v>#REF!</v>
      </c>
    </row>
    <row r="288" spans="1:20" s="73" customFormat="1" ht="25.5" hidden="1">
      <c r="A288" s="9"/>
      <c r="B288" s="9"/>
      <c r="C288" s="9"/>
      <c r="D288" s="69"/>
      <c r="E288" s="69">
        <v>122</v>
      </c>
      <c r="F288" s="3" t="s">
        <v>3</v>
      </c>
      <c r="G288" s="26"/>
      <c r="H288" s="26"/>
      <c r="I288" s="26"/>
      <c r="J288" s="105" t="e">
        <f t="shared" si="156"/>
        <v>#REF!</v>
      </c>
      <c r="K288" s="29" t="e">
        <f>'1.02.'!M269</f>
        <v>#REF!</v>
      </c>
      <c r="L288" s="27"/>
      <c r="M288" s="35" t="e">
        <f t="shared" si="157"/>
        <v>#REF!</v>
      </c>
      <c r="N288" s="35" t="e">
        <f t="shared" si="158"/>
        <v>#REF!</v>
      </c>
      <c r="O288" s="70" t="e">
        <f t="shared" ref="O288:O293" si="163">M288/I288*100</f>
        <v>#REF!</v>
      </c>
      <c r="P288" s="71" t="e">
        <f t="shared" si="159"/>
        <v>#REF!</v>
      </c>
      <c r="Q288" s="35" t="e">
        <f t="shared" si="160"/>
        <v>#REF!</v>
      </c>
      <c r="R288" s="72">
        <v>1103840</v>
      </c>
      <c r="S288" s="72" t="e">
        <f t="shared" si="161"/>
        <v>#REF!</v>
      </c>
      <c r="T288" s="62" t="e">
        <f t="shared" si="162"/>
        <v>#REF!</v>
      </c>
    </row>
    <row r="289" spans="1:20" s="73" customFormat="1" hidden="1">
      <c r="A289" s="9"/>
      <c r="B289" s="9"/>
      <c r="C289" s="9"/>
      <c r="D289" s="69"/>
      <c r="E289" s="69">
        <v>124</v>
      </c>
      <c r="F289" s="3" t="s">
        <v>19</v>
      </c>
      <c r="G289" s="26"/>
      <c r="H289" s="26"/>
      <c r="I289" s="26"/>
      <c r="J289" s="105" t="e">
        <f t="shared" si="156"/>
        <v>#REF!</v>
      </c>
      <c r="K289" s="29" t="e">
        <f>'1.02.'!M270</f>
        <v>#REF!</v>
      </c>
      <c r="L289" s="27"/>
      <c r="M289" s="35" t="e">
        <f t="shared" si="157"/>
        <v>#REF!</v>
      </c>
      <c r="N289" s="35" t="e">
        <f t="shared" si="158"/>
        <v>#REF!</v>
      </c>
      <c r="O289" s="70" t="e">
        <f t="shared" si="163"/>
        <v>#REF!</v>
      </c>
      <c r="P289" s="71" t="e">
        <f t="shared" si="159"/>
        <v>#REF!</v>
      </c>
      <c r="Q289" s="35" t="e">
        <f t="shared" si="160"/>
        <v>#REF!</v>
      </c>
      <c r="R289" s="72">
        <v>1103841</v>
      </c>
      <c r="S289" s="72" t="e">
        <f t="shared" si="161"/>
        <v>#REF!</v>
      </c>
      <c r="T289" s="62" t="e">
        <f t="shared" si="162"/>
        <v>#REF!</v>
      </c>
    </row>
    <row r="290" spans="1:20">
      <c r="A290" s="8"/>
      <c r="B290" s="8"/>
      <c r="C290" s="17"/>
      <c r="D290" s="17" t="s">
        <v>7</v>
      </c>
      <c r="E290" s="10"/>
      <c r="F290" s="135" t="s">
        <v>85</v>
      </c>
      <c r="G290" s="40">
        <f>SUM(G291:G309)</f>
        <v>547045</v>
      </c>
      <c r="H290" s="40">
        <f>SUM(H291:H309)</f>
        <v>147087.70000000001</v>
      </c>
      <c r="I290" s="40">
        <f>SUM(I291:I309)</f>
        <v>98052.5</v>
      </c>
      <c r="J290" s="24">
        <f t="shared" ref="J290" si="164">SUM(J291:J309)</f>
        <v>146833.59541000001</v>
      </c>
      <c r="K290" s="29">
        <f>'1.02.'!M271</f>
        <v>2434.3649999999998</v>
      </c>
      <c r="L290" s="24">
        <f>SUM(L291:L309)</f>
        <v>36743.74093</v>
      </c>
      <c r="M290" s="24">
        <f t="shared" ref="M290" si="165">SUM(M291:M309)</f>
        <v>97924.682929999995</v>
      </c>
      <c r="N290" s="24">
        <f>SUM(N291:N309)</f>
        <v>127.8170699999996</v>
      </c>
      <c r="O290" s="66">
        <f t="shared" si="163"/>
        <v>99.869644251803877</v>
      </c>
      <c r="P290" s="71">
        <f t="shared" si="159"/>
        <v>48908.912480000014</v>
      </c>
      <c r="Q290" s="35">
        <f t="shared" si="160"/>
        <v>254.10459000000264</v>
      </c>
      <c r="R290" s="72">
        <v>1103842</v>
      </c>
      <c r="S290" s="72">
        <f t="shared" si="161"/>
        <v>449120.31706999999</v>
      </c>
      <c r="T290" s="62">
        <f t="shared" si="162"/>
        <v>400211.40458999999</v>
      </c>
    </row>
    <row r="291" spans="1:20">
      <c r="A291" s="8"/>
      <c r="B291" s="9"/>
      <c r="C291" s="9"/>
      <c r="D291" s="69"/>
      <c r="E291" s="69">
        <v>111</v>
      </c>
      <c r="F291" s="136" t="s">
        <v>86</v>
      </c>
      <c r="G291" s="26">
        <f>395706-34947-1433</f>
        <v>359326</v>
      </c>
      <c r="H291" s="26">
        <v>49627</v>
      </c>
      <c r="I291" s="26">
        <v>49627</v>
      </c>
      <c r="J291" s="105">
        <f>M291</f>
        <v>49627</v>
      </c>
      <c r="K291" s="35">
        <f>'1.06.'!M291</f>
        <v>26627</v>
      </c>
      <c r="L291" s="27">
        <v>23000</v>
      </c>
      <c r="M291" s="93">
        <f t="shared" ref="M291:M293" si="166">K291+L291</f>
        <v>49627</v>
      </c>
      <c r="N291" s="93">
        <f t="shared" ref="N291:N293" si="167">I291-M291</f>
        <v>0</v>
      </c>
      <c r="O291" s="70">
        <f t="shared" si="163"/>
        <v>100</v>
      </c>
      <c r="P291" s="71">
        <f t="shared" si="159"/>
        <v>0</v>
      </c>
      <c r="Q291" s="35">
        <f t="shared" si="160"/>
        <v>0</v>
      </c>
      <c r="R291" s="72">
        <v>1103843</v>
      </c>
      <c r="S291" s="72">
        <f t="shared" si="161"/>
        <v>309699</v>
      </c>
      <c r="T291" s="62">
        <f t="shared" si="162"/>
        <v>309699</v>
      </c>
    </row>
    <row r="292" spans="1:20">
      <c r="A292" s="8"/>
      <c r="B292" s="9"/>
      <c r="C292" s="9"/>
      <c r="D292" s="69"/>
      <c r="E292" s="69">
        <v>112</v>
      </c>
      <c r="F292" s="136" t="s">
        <v>87</v>
      </c>
      <c r="G292" s="26">
        <v>4300</v>
      </c>
      <c r="H292" s="26">
        <v>4300</v>
      </c>
      <c r="I292" s="26">
        <v>4300</v>
      </c>
      <c r="J292" s="105">
        <f t="shared" ref="J292:J309" si="168">M292</f>
        <v>4300</v>
      </c>
      <c r="K292" s="35">
        <f>'1.06.'!M292</f>
        <v>4300</v>
      </c>
      <c r="L292" s="27"/>
      <c r="M292" s="93">
        <f t="shared" si="166"/>
        <v>4300</v>
      </c>
      <c r="N292" s="93">
        <f t="shared" si="167"/>
        <v>0</v>
      </c>
      <c r="O292" s="70">
        <f t="shared" si="163"/>
        <v>100</v>
      </c>
      <c r="P292" s="71">
        <f t="shared" si="159"/>
        <v>0</v>
      </c>
      <c r="Q292" s="35">
        <f t="shared" si="160"/>
        <v>0</v>
      </c>
      <c r="R292" s="72">
        <v>1103844</v>
      </c>
      <c r="S292" s="72">
        <f t="shared" si="161"/>
        <v>0</v>
      </c>
    </row>
    <row r="293" spans="1:20">
      <c r="A293" s="8"/>
      <c r="B293" s="9"/>
      <c r="C293" s="9"/>
      <c r="D293" s="69"/>
      <c r="E293" s="76">
        <v>113</v>
      </c>
      <c r="F293" s="136" t="s">
        <v>88</v>
      </c>
      <c r="G293" s="26">
        <f>19666-5000</f>
        <v>14666</v>
      </c>
      <c r="H293" s="26"/>
      <c r="I293" s="26"/>
      <c r="J293" s="105">
        <f t="shared" si="168"/>
        <v>0</v>
      </c>
      <c r="K293" s="35">
        <f>'1.06.'!M293</f>
        <v>0</v>
      </c>
      <c r="L293" s="27"/>
      <c r="M293" s="93">
        <f t="shared" si="166"/>
        <v>0</v>
      </c>
      <c r="N293" s="93">
        <f t="shared" si="167"/>
        <v>0</v>
      </c>
      <c r="O293" s="70" t="e">
        <f t="shared" si="163"/>
        <v>#DIV/0!</v>
      </c>
      <c r="P293" s="71">
        <f t="shared" si="159"/>
        <v>0</v>
      </c>
      <c r="Q293" s="35">
        <f t="shared" si="160"/>
        <v>0</v>
      </c>
      <c r="R293" s="72">
        <v>1103845</v>
      </c>
      <c r="S293" s="72">
        <f t="shared" si="161"/>
        <v>14666</v>
      </c>
      <c r="T293" s="62">
        <f t="shared" ref="T293" si="169">G293-J293</f>
        <v>14666</v>
      </c>
    </row>
    <row r="294" spans="1:20">
      <c r="A294" s="8"/>
      <c r="B294" s="9"/>
      <c r="C294" s="9"/>
      <c r="D294" s="69"/>
      <c r="E294" s="69">
        <v>116</v>
      </c>
      <c r="F294" s="136" t="s">
        <v>89</v>
      </c>
      <c r="G294" s="26">
        <f>13850-2000-300</f>
        <v>11550</v>
      </c>
      <c r="H294" s="26">
        <v>840</v>
      </c>
      <c r="I294" s="26">
        <v>840</v>
      </c>
      <c r="J294" s="105">
        <f t="shared" si="168"/>
        <v>840</v>
      </c>
      <c r="K294" s="35">
        <f>'1.06.'!M294</f>
        <v>589.78399999999999</v>
      </c>
      <c r="L294" s="27">
        <v>250.21600000000001</v>
      </c>
      <c r="M294" s="93">
        <f>K294+L294</f>
        <v>840</v>
      </c>
      <c r="N294" s="93">
        <f>I294-M294</f>
        <v>0</v>
      </c>
      <c r="O294" s="70">
        <f>M294/I294*100</f>
        <v>100</v>
      </c>
      <c r="P294" s="71">
        <f t="shared" si="159"/>
        <v>0</v>
      </c>
      <c r="Q294" s="35">
        <f t="shared" si="160"/>
        <v>0</v>
      </c>
      <c r="R294" s="72">
        <v>1103846</v>
      </c>
      <c r="S294" s="72">
        <f t="shared" si="161"/>
        <v>10710</v>
      </c>
    </row>
    <row r="295" spans="1:20">
      <c r="A295" s="8"/>
      <c r="B295" s="9"/>
      <c r="C295" s="9"/>
      <c r="D295" s="69"/>
      <c r="E295" s="69">
        <v>121</v>
      </c>
      <c r="F295" s="136" t="s">
        <v>90</v>
      </c>
      <c r="G295" s="26">
        <f>20498-5000-1000</f>
        <v>14498</v>
      </c>
      <c r="H295" s="26">
        <v>2692</v>
      </c>
      <c r="I295" s="26">
        <v>2692</v>
      </c>
      <c r="J295" s="105">
        <f t="shared" si="168"/>
        <v>2692</v>
      </c>
      <c r="K295" s="35">
        <f>'1.06.'!M295</f>
        <v>1392</v>
      </c>
      <c r="L295" s="27">
        <v>1300</v>
      </c>
      <c r="M295" s="93">
        <f t="shared" ref="M295:M308" si="170">K295+L295</f>
        <v>2692</v>
      </c>
      <c r="N295" s="93">
        <f t="shared" ref="N295:N309" si="171">I295-M295</f>
        <v>0</v>
      </c>
      <c r="O295" s="70">
        <f t="shared" ref="O295:O309" si="172">M295/I295*100</f>
        <v>100</v>
      </c>
      <c r="P295" s="71">
        <f t="shared" si="159"/>
        <v>0</v>
      </c>
      <c r="Q295" s="35">
        <f t="shared" si="160"/>
        <v>0</v>
      </c>
      <c r="R295" s="72">
        <v>1103847</v>
      </c>
      <c r="S295" s="72">
        <f t="shared" si="161"/>
        <v>11806</v>
      </c>
      <c r="T295" s="62">
        <f t="shared" ref="T295:T304" si="173">G295-J295</f>
        <v>11806</v>
      </c>
    </row>
    <row r="296" spans="1:20">
      <c r="A296" s="8"/>
      <c r="B296" s="9"/>
      <c r="C296" s="9"/>
      <c r="D296" s="69"/>
      <c r="E296" s="69">
        <v>122</v>
      </c>
      <c r="F296" s="136" t="s">
        <v>91</v>
      </c>
      <c r="G296" s="26">
        <f>17807-5000-711</f>
        <v>12096</v>
      </c>
      <c r="H296" s="26">
        <v>1812</v>
      </c>
      <c r="I296" s="26">
        <v>1812</v>
      </c>
      <c r="J296" s="105">
        <f t="shared" si="168"/>
        <v>1812</v>
      </c>
      <c r="K296" s="35">
        <f>'1.06.'!M296</f>
        <v>1111.9000000000001</v>
      </c>
      <c r="L296" s="27">
        <v>700.1</v>
      </c>
      <c r="M296" s="93">
        <f t="shared" si="170"/>
        <v>1812</v>
      </c>
      <c r="N296" s="93">
        <f t="shared" si="171"/>
        <v>0</v>
      </c>
      <c r="O296" s="70">
        <f t="shared" si="172"/>
        <v>100</v>
      </c>
      <c r="P296" s="71">
        <f t="shared" si="159"/>
        <v>0</v>
      </c>
      <c r="Q296" s="35">
        <f t="shared" si="160"/>
        <v>0</v>
      </c>
      <c r="R296" s="72">
        <v>1103848</v>
      </c>
      <c r="S296" s="72">
        <f t="shared" si="161"/>
        <v>10284</v>
      </c>
      <c r="T296" s="62">
        <f t="shared" si="173"/>
        <v>10284</v>
      </c>
    </row>
    <row r="297" spans="1:20">
      <c r="A297" s="8"/>
      <c r="B297" s="9"/>
      <c r="C297" s="9"/>
      <c r="D297" s="69"/>
      <c r="E297" s="69">
        <v>123</v>
      </c>
      <c r="F297" s="136" t="s">
        <v>92</v>
      </c>
      <c r="G297" s="26"/>
      <c r="H297" s="26"/>
      <c r="I297" s="26"/>
      <c r="J297" s="105">
        <f t="shared" si="168"/>
        <v>0</v>
      </c>
      <c r="K297" s="35">
        <f>'1.06.'!M297</f>
        <v>0</v>
      </c>
      <c r="L297" s="27"/>
      <c r="M297" s="93">
        <f t="shared" si="170"/>
        <v>0</v>
      </c>
      <c r="N297" s="93">
        <f t="shared" si="171"/>
        <v>0</v>
      </c>
      <c r="O297" s="70" t="e">
        <f t="shared" si="172"/>
        <v>#DIV/0!</v>
      </c>
      <c r="P297" s="71">
        <f t="shared" si="159"/>
        <v>0</v>
      </c>
      <c r="Q297" s="35">
        <f t="shared" si="160"/>
        <v>0</v>
      </c>
      <c r="R297" s="72">
        <v>1103849</v>
      </c>
      <c r="S297" s="72">
        <f t="shared" si="161"/>
        <v>0</v>
      </c>
      <c r="T297" s="62">
        <f t="shared" si="173"/>
        <v>0</v>
      </c>
    </row>
    <row r="298" spans="1:20">
      <c r="A298" s="9"/>
      <c r="B298" s="9"/>
      <c r="C298" s="9"/>
      <c r="D298" s="69"/>
      <c r="E298" s="69">
        <v>124</v>
      </c>
      <c r="F298" s="136" t="s">
        <v>93</v>
      </c>
      <c r="G298" s="26">
        <f>11872-5000-856</f>
        <v>6016</v>
      </c>
      <c r="H298" s="26">
        <v>1333</v>
      </c>
      <c r="I298" s="26">
        <v>1333</v>
      </c>
      <c r="J298" s="105">
        <f t="shared" si="168"/>
        <v>1333</v>
      </c>
      <c r="K298" s="35">
        <f>'1.06.'!M298</f>
        <v>733</v>
      </c>
      <c r="L298" s="27">
        <v>600</v>
      </c>
      <c r="M298" s="93">
        <f t="shared" si="170"/>
        <v>1333</v>
      </c>
      <c r="N298" s="93">
        <f t="shared" si="171"/>
        <v>0</v>
      </c>
      <c r="O298" s="70">
        <f t="shared" si="172"/>
        <v>100</v>
      </c>
      <c r="P298" s="71">
        <f t="shared" si="159"/>
        <v>0</v>
      </c>
      <c r="Q298" s="35">
        <f t="shared" si="160"/>
        <v>0</v>
      </c>
      <c r="R298" s="72">
        <v>1103850</v>
      </c>
      <c r="S298" s="72">
        <f t="shared" si="161"/>
        <v>4683</v>
      </c>
      <c r="T298" s="62">
        <f t="shared" si="173"/>
        <v>4683</v>
      </c>
    </row>
    <row r="299" spans="1:20" s="73" customFormat="1">
      <c r="A299" s="9"/>
      <c r="B299" s="9"/>
      <c r="C299" s="9"/>
      <c r="D299" s="69"/>
      <c r="E299" s="69">
        <v>141</v>
      </c>
      <c r="F299" s="136" t="s">
        <v>116</v>
      </c>
      <c r="G299" s="26">
        <f>42256-747-5493.7</f>
        <v>36015.300000000003</v>
      </c>
      <c r="H299" s="26">
        <v>33664</v>
      </c>
      <c r="I299" s="26">
        <v>2633</v>
      </c>
      <c r="J299" s="105">
        <v>33663.5965</v>
      </c>
      <c r="K299" s="35">
        <f>'1.06.'!M299</f>
        <v>0</v>
      </c>
      <c r="L299" s="27">
        <v>2633</v>
      </c>
      <c r="M299" s="93">
        <f t="shared" si="170"/>
        <v>2633</v>
      </c>
      <c r="N299" s="93">
        <f t="shared" si="171"/>
        <v>0</v>
      </c>
      <c r="O299" s="70">
        <f t="shared" si="172"/>
        <v>100</v>
      </c>
      <c r="P299" s="71">
        <f t="shared" si="159"/>
        <v>31030.5965</v>
      </c>
      <c r="Q299" s="35">
        <f t="shared" si="160"/>
        <v>0.40350000000034925</v>
      </c>
      <c r="R299" s="72">
        <v>1103851</v>
      </c>
      <c r="S299" s="72">
        <f t="shared" si="161"/>
        <v>33382.300000000003</v>
      </c>
      <c r="T299" s="62">
        <f t="shared" si="173"/>
        <v>2351.7035000000033</v>
      </c>
    </row>
    <row r="300" spans="1:20" ht="25.5">
      <c r="A300" s="9"/>
      <c r="B300" s="9"/>
      <c r="C300" s="9"/>
      <c r="D300" s="69"/>
      <c r="E300" s="69">
        <v>142</v>
      </c>
      <c r="F300" s="136" t="s">
        <v>122</v>
      </c>
      <c r="G300" s="26">
        <f>3014+356.2</f>
        <v>3370.2</v>
      </c>
      <c r="H300" s="26">
        <v>3370.2</v>
      </c>
      <c r="I300" s="26">
        <v>3370.2</v>
      </c>
      <c r="J300" s="105">
        <v>3370.16</v>
      </c>
      <c r="K300" s="35">
        <f>'1.06.'!M300</f>
        <v>0</v>
      </c>
      <c r="L300" s="27">
        <v>3370.16</v>
      </c>
      <c r="M300" s="93">
        <f t="shared" si="170"/>
        <v>3370.16</v>
      </c>
      <c r="N300" s="93">
        <f t="shared" si="171"/>
        <v>3.999999999996362E-2</v>
      </c>
      <c r="O300" s="70">
        <f t="shared" si="172"/>
        <v>99.998813126817396</v>
      </c>
      <c r="P300" s="71">
        <f t="shared" si="159"/>
        <v>0</v>
      </c>
      <c r="Q300" s="35">
        <f t="shared" si="160"/>
        <v>3.999999999996362E-2</v>
      </c>
      <c r="R300" s="72">
        <v>1103852</v>
      </c>
      <c r="S300" s="72">
        <f t="shared" si="161"/>
        <v>3.999999999996362E-2</v>
      </c>
      <c r="T300" s="62">
        <f t="shared" si="173"/>
        <v>3.999999999996362E-2</v>
      </c>
    </row>
    <row r="301" spans="1:20">
      <c r="A301" s="9"/>
      <c r="B301" s="9"/>
      <c r="C301" s="9"/>
      <c r="D301" s="69"/>
      <c r="E301" s="69">
        <v>144</v>
      </c>
      <c r="F301" s="136" t="s">
        <v>97</v>
      </c>
      <c r="G301" s="26">
        <f>400+87.5</f>
        <v>487.5</v>
      </c>
      <c r="H301" s="26">
        <v>400</v>
      </c>
      <c r="I301" s="26">
        <v>400</v>
      </c>
      <c r="J301" s="105">
        <v>399.99793</v>
      </c>
      <c r="K301" s="35">
        <f>'1.06.'!M301</f>
        <v>0</v>
      </c>
      <c r="L301" s="27">
        <v>399.99793</v>
      </c>
      <c r="M301" s="93">
        <f t="shared" si="170"/>
        <v>399.99793</v>
      </c>
      <c r="N301" s="93">
        <f t="shared" si="171"/>
        <v>2.0700000000033469E-3</v>
      </c>
      <c r="O301" s="70">
        <f t="shared" si="172"/>
        <v>99.999482499999999</v>
      </c>
      <c r="P301" s="71">
        <f t="shared" si="159"/>
        <v>0</v>
      </c>
      <c r="Q301" s="35">
        <f t="shared" si="160"/>
        <v>2.0700000000033469E-3</v>
      </c>
      <c r="R301" s="72">
        <v>1103853</v>
      </c>
      <c r="S301" s="72">
        <f t="shared" si="161"/>
        <v>87.502070000000003</v>
      </c>
      <c r="T301" s="62">
        <f t="shared" si="173"/>
        <v>87.502070000000003</v>
      </c>
    </row>
    <row r="302" spans="1:20">
      <c r="A302" s="9"/>
      <c r="B302" s="9"/>
      <c r="C302" s="9"/>
      <c r="D302" s="69"/>
      <c r="E302" s="69">
        <v>149</v>
      </c>
      <c r="F302" s="136" t="s">
        <v>98</v>
      </c>
      <c r="G302" s="26">
        <v>7350</v>
      </c>
      <c r="H302" s="26">
        <v>6902.6</v>
      </c>
      <c r="I302" s="26">
        <v>6902.6</v>
      </c>
      <c r="J302" s="105">
        <v>6774.8249999999998</v>
      </c>
      <c r="K302" s="35">
        <f>'1.06.'!M302</f>
        <v>5810.6</v>
      </c>
      <c r="L302" s="27">
        <v>964.22500000000002</v>
      </c>
      <c r="M302" s="93">
        <f t="shared" si="170"/>
        <v>6774.8250000000007</v>
      </c>
      <c r="N302" s="93">
        <f>I302-M302</f>
        <v>127.77499999999964</v>
      </c>
      <c r="O302" s="70">
        <f t="shared" si="172"/>
        <v>98.148885927041988</v>
      </c>
      <c r="P302" s="71">
        <f t="shared" si="159"/>
        <v>0</v>
      </c>
      <c r="Q302" s="35">
        <f t="shared" si="160"/>
        <v>127.77500000000055</v>
      </c>
      <c r="R302" s="72">
        <v>1103854</v>
      </c>
      <c r="S302" s="72">
        <f t="shared" si="161"/>
        <v>575.17499999999927</v>
      </c>
      <c r="T302" s="62">
        <f t="shared" si="173"/>
        <v>575.17500000000018</v>
      </c>
    </row>
    <row r="303" spans="1:20">
      <c r="A303" s="9"/>
      <c r="B303" s="9"/>
      <c r="C303" s="9"/>
      <c r="D303" s="69"/>
      <c r="E303" s="69">
        <v>151</v>
      </c>
      <c r="F303" s="136" t="s">
        <v>99</v>
      </c>
      <c r="G303" s="26">
        <v>46563</v>
      </c>
      <c r="H303" s="26">
        <v>17409.7</v>
      </c>
      <c r="I303" s="26">
        <v>17409.7</v>
      </c>
      <c r="J303" s="105">
        <f t="shared" si="168"/>
        <v>17409.7</v>
      </c>
      <c r="K303" s="35">
        <f>'1.06.'!M303</f>
        <v>15436.7</v>
      </c>
      <c r="L303" s="27">
        <v>1973</v>
      </c>
      <c r="M303" s="93">
        <f t="shared" si="170"/>
        <v>17409.7</v>
      </c>
      <c r="N303" s="93">
        <f t="shared" si="171"/>
        <v>0</v>
      </c>
      <c r="O303" s="70">
        <f t="shared" si="172"/>
        <v>100</v>
      </c>
      <c r="P303" s="71">
        <f t="shared" si="159"/>
        <v>0</v>
      </c>
      <c r="Q303" s="35">
        <f t="shared" si="160"/>
        <v>0</v>
      </c>
      <c r="R303" s="72">
        <v>1103855</v>
      </c>
      <c r="S303" s="72">
        <f t="shared" si="161"/>
        <v>29153.3</v>
      </c>
      <c r="T303" s="62">
        <f t="shared" si="173"/>
        <v>29153.3</v>
      </c>
    </row>
    <row r="304" spans="1:20" hidden="1">
      <c r="A304" s="9"/>
      <c r="B304" s="9"/>
      <c r="C304" s="9"/>
      <c r="D304" s="69"/>
      <c r="E304" s="69">
        <v>152</v>
      </c>
      <c r="F304" s="3" t="s">
        <v>4</v>
      </c>
      <c r="G304" s="26"/>
      <c r="H304" s="26"/>
      <c r="I304" s="26"/>
      <c r="J304" s="105">
        <f t="shared" si="168"/>
        <v>0</v>
      </c>
      <c r="K304" s="35">
        <f>'1.06.'!M304</f>
        <v>0</v>
      </c>
      <c r="L304" s="27"/>
      <c r="M304" s="93">
        <f t="shared" ref="M304:M305" si="174">K304+L304</f>
        <v>0</v>
      </c>
      <c r="N304" s="93">
        <f t="shared" ref="N304:N305" si="175">I304-M304</f>
        <v>0</v>
      </c>
      <c r="O304" s="70" t="e">
        <f t="shared" ref="O304:O305" si="176">M304/I304*100</f>
        <v>#DIV/0!</v>
      </c>
      <c r="P304" s="71">
        <f t="shared" ref="P304:P305" si="177">J304-M304</f>
        <v>0</v>
      </c>
      <c r="Q304" s="35">
        <f t="shared" ref="Q304:Q305" si="178">H304-J304</f>
        <v>0</v>
      </c>
      <c r="R304" s="72">
        <v>1103856</v>
      </c>
      <c r="S304" s="72">
        <f t="shared" ref="S304:S305" si="179">G304-M304</f>
        <v>0</v>
      </c>
      <c r="T304" s="62">
        <f t="shared" si="173"/>
        <v>0</v>
      </c>
    </row>
    <row r="305" spans="1:20">
      <c r="A305" s="9"/>
      <c r="B305" s="9"/>
      <c r="C305" s="9"/>
      <c r="D305" s="69"/>
      <c r="E305" s="69">
        <v>152</v>
      </c>
      <c r="F305" s="3" t="s">
        <v>100</v>
      </c>
      <c r="G305" s="26">
        <v>5050</v>
      </c>
      <c r="H305" s="26"/>
      <c r="I305" s="26"/>
      <c r="J305" s="105">
        <f t="shared" si="168"/>
        <v>0</v>
      </c>
      <c r="K305" s="35"/>
      <c r="L305" s="27"/>
      <c r="M305" s="93">
        <f t="shared" si="174"/>
        <v>0</v>
      </c>
      <c r="N305" s="93">
        <f t="shared" si="175"/>
        <v>0</v>
      </c>
      <c r="O305" s="70" t="e">
        <f t="shared" si="176"/>
        <v>#DIV/0!</v>
      </c>
      <c r="P305" s="71">
        <f t="shared" si="177"/>
        <v>0</v>
      </c>
      <c r="Q305" s="35">
        <f t="shared" si="178"/>
        <v>0</v>
      </c>
      <c r="R305" s="72">
        <v>1103857</v>
      </c>
      <c r="S305" s="72">
        <f t="shared" si="179"/>
        <v>5050</v>
      </c>
    </row>
    <row r="306" spans="1:20" ht="25.5">
      <c r="A306" s="9"/>
      <c r="B306" s="9"/>
      <c r="C306" s="9"/>
      <c r="D306" s="69"/>
      <c r="E306" s="69">
        <v>158</v>
      </c>
      <c r="F306" s="136" t="s">
        <v>101</v>
      </c>
      <c r="G306" s="26">
        <v>730</v>
      </c>
      <c r="H306" s="26">
        <v>730</v>
      </c>
      <c r="I306" s="26">
        <v>305</v>
      </c>
      <c r="J306" s="105">
        <v>730</v>
      </c>
      <c r="K306" s="35">
        <f>'1.06.'!M305</f>
        <v>244</v>
      </c>
      <c r="L306" s="27">
        <v>61</v>
      </c>
      <c r="M306" s="93">
        <f t="shared" si="170"/>
        <v>305</v>
      </c>
      <c r="N306" s="93">
        <f t="shared" si="171"/>
        <v>0</v>
      </c>
      <c r="O306" s="70">
        <f t="shared" si="172"/>
        <v>100</v>
      </c>
      <c r="P306" s="71">
        <f t="shared" si="159"/>
        <v>425</v>
      </c>
      <c r="Q306" s="35">
        <f t="shared" si="160"/>
        <v>0</v>
      </c>
      <c r="R306" s="72">
        <v>1103857</v>
      </c>
      <c r="S306" s="72">
        <f t="shared" si="161"/>
        <v>425</v>
      </c>
    </row>
    <row r="307" spans="1:20">
      <c r="A307" s="9"/>
      <c r="B307" s="9"/>
      <c r="C307" s="9"/>
      <c r="D307" s="69"/>
      <c r="E307" s="69">
        <v>159</v>
      </c>
      <c r="F307" s="136" t="s">
        <v>84</v>
      </c>
      <c r="G307" s="26">
        <v>24280</v>
      </c>
      <c r="H307" s="26">
        <v>23260.2</v>
      </c>
      <c r="I307" s="26">
        <v>5681</v>
      </c>
      <c r="J307" s="105">
        <v>23134.315979999999</v>
      </c>
      <c r="K307" s="35">
        <f>'1.06.'!M306</f>
        <v>4188.9580000000005</v>
      </c>
      <c r="L307" s="27">
        <v>1492.0419999999999</v>
      </c>
      <c r="M307" s="93">
        <f t="shared" si="170"/>
        <v>5681</v>
      </c>
      <c r="N307" s="93">
        <f t="shared" si="171"/>
        <v>0</v>
      </c>
      <c r="O307" s="70">
        <f t="shared" si="172"/>
        <v>100</v>
      </c>
      <c r="P307" s="71">
        <f t="shared" si="159"/>
        <v>17453.315979999999</v>
      </c>
      <c r="Q307" s="35">
        <f t="shared" si="160"/>
        <v>125.88402000000133</v>
      </c>
      <c r="R307" s="72">
        <v>1103858</v>
      </c>
      <c r="S307" s="72">
        <f t="shared" si="161"/>
        <v>18599</v>
      </c>
      <c r="T307" s="62">
        <f t="shared" ref="T307:T309" si="180">G307-J307</f>
        <v>1145.6840200000006</v>
      </c>
    </row>
    <row r="308" spans="1:20">
      <c r="A308" s="9"/>
      <c r="B308" s="9"/>
      <c r="C308" s="9"/>
      <c r="D308" s="69"/>
      <c r="E308" s="69">
        <v>161</v>
      </c>
      <c r="F308" s="136" t="s">
        <v>102</v>
      </c>
      <c r="G308" s="26">
        <v>747</v>
      </c>
      <c r="H308" s="26">
        <v>747</v>
      </c>
      <c r="I308" s="26">
        <v>747</v>
      </c>
      <c r="J308" s="105">
        <f t="shared" si="168"/>
        <v>747</v>
      </c>
      <c r="K308" s="35">
        <f>'1.06.'!M307</f>
        <v>747</v>
      </c>
      <c r="L308" s="27"/>
      <c r="M308" s="93">
        <f t="shared" si="170"/>
        <v>747</v>
      </c>
      <c r="N308" s="93">
        <f t="shared" si="171"/>
        <v>0</v>
      </c>
      <c r="O308" s="70">
        <f t="shared" si="172"/>
        <v>100</v>
      </c>
      <c r="P308" s="71">
        <f t="shared" si="159"/>
        <v>0</v>
      </c>
      <c r="Q308" s="35">
        <f t="shared" si="160"/>
        <v>0</v>
      </c>
      <c r="R308" s="72">
        <v>1103859</v>
      </c>
      <c r="S308" s="72">
        <f t="shared" si="161"/>
        <v>0</v>
      </c>
      <c r="T308" s="62">
        <f t="shared" si="180"/>
        <v>0</v>
      </c>
    </row>
    <row r="309" spans="1:20">
      <c r="A309" s="9"/>
      <c r="B309" s="9"/>
      <c r="C309" s="9"/>
      <c r="D309" s="69"/>
      <c r="E309" s="69">
        <v>169</v>
      </c>
      <c r="F309" s="136" t="s">
        <v>103</v>
      </c>
      <c r="G309" s="26"/>
      <c r="H309" s="26"/>
      <c r="I309" s="26"/>
      <c r="J309" s="105">
        <f t="shared" si="168"/>
        <v>0</v>
      </c>
      <c r="K309" s="35">
        <f>'1.06.'!M308</f>
        <v>0</v>
      </c>
      <c r="L309" s="27"/>
      <c r="M309" s="93">
        <f>K309+L309</f>
        <v>0</v>
      </c>
      <c r="N309" s="93">
        <f t="shared" si="171"/>
        <v>0</v>
      </c>
      <c r="O309" s="70" t="e">
        <f t="shared" si="172"/>
        <v>#DIV/0!</v>
      </c>
      <c r="P309" s="71">
        <f t="shared" si="159"/>
        <v>0</v>
      </c>
      <c r="Q309" s="35">
        <f t="shared" si="160"/>
        <v>0</v>
      </c>
      <c r="R309" s="72">
        <v>1103860</v>
      </c>
      <c r="S309" s="72">
        <f t="shared" si="161"/>
        <v>0</v>
      </c>
      <c r="T309" s="62">
        <f t="shared" si="180"/>
        <v>0</v>
      </c>
    </row>
    <row r="310" spans="1:20" ht="25.5">
      <c r="A310" s="100"/>
      <c r="B310" s="15"/>
      <c r="C310" s="57" t="s">
        <v>43</v>
      </c>
      <c r="D310" s="16"/>
      <c r="E310" s="20"/>
      <c r="F310" s="139" t="s">
        <v>119</v>
      </c>
      <c r="G310" s="59">
        <f t="shared" ref="G310:N310" si="181">G311</f>
        <v>56947</v>
      </c>
      <c r="H310" s="59">
        <f t="shared" si="181"/>
        <v>30259</v>
      </c>
      <c r="I310" s="59">
        <f t="shared" si="181"/>
        <v>28370.400000000001</v>
      </c>
      <c r="J310" s="29">
        <f t="shared" si="181"/>
        <v>28014.970700000002</v>
      </c>
      <c r="K310" s="29">
        <f t="shared" si="181"/>
        <v>16362.86699</v>
      </c>
      <c r="L310" s="59"/>
      <c r="M310" s="29">
        <f t="shared" si="181"/>
        <v>20045.207109999999</v>
      </c>
      <c r="N310" s="29">
        <f t="shared" si="181"/>
        <v>8325.1928900000021</v>
      </c>
      <c r="O310" s="70">
        <f t="shared" ref="O310:O313" si="182">M310/I310*100</f>
        <v>70.655355969602113</v>
      </c>
      <c r="P310" s="71">
        <f t="shared" si="159"/>
        <v>7969.7635900000023</v>
      </c>
      <c r="Q310" s="35">
        <f t="shared" si="160"/>
        <v>2244.0292999999983</v>
      </c>
      <c r="R310" s="72">
        <v>1103861</v>
      </c>
      <c r="S310" s="72">
        <f t="shared" si="161"/>
        <v>36901.792889999997</v>
      </c>
    </row>
    <row r="311" spans="1:20">
      <c r="A311" s="9"/>
      <c r="B311" s="12"/>
      <c r="C311" s="12"/>
      <c r="D311" s="11" t="s">
        <v>7</v>
      </c>
      <c r="E311" s="97"/>
      <c r="F311" s="122" t="s">
        <v>85</v>
      </c>
      <c r="G311" s="30">
        <f>G312+G313+G314</f>
        <v>56947</v>
      </c>
      <c r="H311" s="30">
        <f t="shared" ref="H311:N311" si="183">H312+H313+H314</f>
        <v>30259</v>
      </c>
      <c r="I311" s="30">
        <f t="shared" si="183"/>
        <v>28370.400000000001</v>
      </c>
      <c r="J311" s="32">
        <f t="shared" si="183"/>
        <v>28014.970700000002</v>
      </c>
      <c r="K311" s="32">
        <f t="shared" si="183"/>
        <v>16362.86699</v>
      </c>
      <c r="L311" s="32">
        <f t="shared" si="183"/>
        <v>3682.3401199999998</v>
      </c>
      <c r="M311" s="32">
        <f t="shared" si="183"/>
        <v>20045.207109999999</v>
      </c>
      <c r="N311" s="32">
        <f t="shared" si="183"/>
        <v>8325.1928900000021</v>
      </c>
      <c r="O311" s="70">
        <f>M311/I311*100</f>
        <v>70.655355969602113</v>
      </c>
      <c r="P311" s="71">
        <f t="shared" si="159"/>
        <v>7969.7635900000023</v>
      </c>
      <c r="Q311" s="35">
        <f t="shared" si="160"/>
        <v>2244.0292999999983</v>
      </c>
      <c r="R311" s="72">
        <v>1103862</v>
      </c>
      <c r="S311" s="72">
        <f t="shared" si="161"/>
        <v>36901.792889999997</v>
      </c>
      <c r="T311" s="62">
        <f>G311-J311</f>
        <v>28932.029299999998</v>
      </c>
    </row>
    <row r="312" spans="1:20" ht="25.5">
      <c r="A312" s="9"/>
      <c r="B312" s="13"/>
      <c r="C312" s="13"/>
      <c r="D312" s="14"/>
      <c r="E312" s="20">
        <v>414</v>
      </c>
      <c r="F312" s="50" t="s">
        <v>105</v>
      </c>
      <c r="G312" s="37">
        <f>56947-849</f>
        <v>56098</v>
      </c>
      <c r="H312" s="37">
        <v>29410</v>
      </c>
      <c r="I312" s="37">
        <v>27521.4</v>
      </c>
      <c r="J312" s="75">
        <v>27166.000700000001</v>
      </c>
      <c r="K312" s="35">
        <f>'1.06.'!M311</f>
        <v>16362.86699</v>
      </c>
      <c r="L312" s="35">
        <v>3682.3401199999998</v>
      </c>
      <c r="M312" s="93">
        <f>K312+L312</f>
        <v>20045.207109999999</v>
      </c>
      <c r="N312" s="93">
        <f t="shared" ref="N312:N314" si="184">I312-M312</f>
        <v>7476.1928900000021</v>
      </c>
      <c r="O312" s="70">
        <f t="shared" si="182"/>
        <v>72.834983358404727</v>
      </c>
      <c r="P312" s="71">
        <f t="shared" si="159"/>
        <v>7120.7935900000011</v>
      </c>
      <c r="Q312" s="35">
        <f t="shared" si="160"/>
        <v>2243.9992999999995</v>
      </c>
      <c r="R312" s="72">
        <v>1103864</v>
      </c>
      <c r="S312" s="72">
        <f t="shared" si="161"/>
        <v>36052.792889999997</v>
      </c>
    </row>
    <row r="313" spans="1:20">
      <c r="A313" s="9"/>
      <c r="B313" s="13"/>
      <c r="C313" s="13"/>
      <c r="D313" s="14"/>
      <c r="E313" s="20">
        <v>419</v>
      </c>
      <c r="F313" s="86" t="s">
        <v>153</v>
      </c>
      <c r="G313" s="37">
        <v>849</v>
      </c>
      <c r="H313" s="37">
        <v>849</v>
      </c>
      <c r="I313" s="37">
        <v>849</v>
      </c>
      <c r="J313" s="75">
        <v>848.97</v>
      </c>
      <c r="K313" s="35">
        <f>'1.06.'!M312</f>
        <v>0</v>
      </c>
      <c r="L313" s="37"/>
      <c r="M313" s="93">
        <f>K313+L313</f>
        <v>0</v>
      </c>
      <c r="N313" s="93">
        <f t="shared" si="184"/>
        <v>849</v>
      </c>
      <c r="O313" s="70">
        <f t="shared" si="182"/>
        <v>0</v>
      </c>
      <c r="P313" s="71">
        <f t="shared" si="159"/>
        <v>848.97</v>
      </c>
      <c r="Q313" s="35">
        <f t="shared" si="160"/>
        <v>2.9999999999972715E-2</v>
      </c>
      <c r="R313" s="72">
        <v>1103864</v>
      </c>
      <c r="S313" s="72">
        <f t="shared" si="161"/>
        <v>849</v>
      </c>
    </row>
    <row r="314" spans="1:20" ht="25.5" hidden="1">
      <c r="A314" s="100"/>
      <c r="B314" s="15"/>
      <c r="C314" s="15"/>
      <c r="D314" s="16"/>
      <c r="E314" s="20">
        <v>421</v>
      </c>
      <c r="F314" s="3" t="s">
        <v>60</v>
      </c>
      <c r="G314" s="37"/>
      <c r="H314" s="37"/>
      <c r="I314" s="37"/>
      <c r="J314" s="75"/>
      <c r="K314" s="35"/>
      <c r="L314" s="35"/>
      <c r="M314" s="92">
        <f t="shared" ref="M314" si="185">K314+L314</f>
        <v>0</v>
      </c>
      <c r="N314" s="93">
        <f t="shared" si="184"/>
        <v>0</v>
      </c>
      <c r="O314" s="70" t="e">
        <f t="shared" ref="O314" si="186">M314/I314*100</f>
        <v>#DIV/0!</v>
      </c>
      <c r="P314" s="71">
        <f t="shared" si="159"/>
        <v>0</v>
      </c>
      <c r="Q314" s="35">
        <f t="shared" si="160"/>
        <v>0</v>
      </c>
      <c r="R314" s="72">
        <v>1103865</v>
      </c>
      <c r="S314" s="72">
        <f t="shared" si="161"/>
        <v>0</v>
      </c>
    </row>
    <row r="353" spans="6:6">
      <c r="F353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362"/>
  <sheetViews>
    <sheetView view="pageBreakPreview" zoomScaleSheetLayoutView="100" workbookViewId="0">
      <pane xSplit="6" ySplit="4" topLeftCell="G258" activePane="bottomRight" state="frozen"/>
      <selection pane="topRight" activeCell="G1" sqref="G1"/>
      <selection pane="bottomLeft" activeCell="A5" sqref="A5"/>
      <selection pane="bottomRight" sqref="A1:XFD1048576"/>
    </sheetView>
  </sheetViews>
  <sheetFormatPr defaultRowHeight="12.75"/>
  <cols>
    <col min="1" max="1" width="4.7109375" style="6" customWidth="1"/>
    <col min="2" max="2" width="4.42578125" style="6" customWidth="1"/>
    <col min="3" max="3" width="4.140625" style="6" customWidth="1"/>
    <col min="4" max="4" width="4.5703125" style="6" customWidth="1"/>
    <col min="5" max="5" width="4.85546875" style="6" customWidth="1"/>
    <col min="6" max="6" width="60.57031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5.42578125" style="62" customWidth="1"/>
    <col min="11" max="11" width="15.28515625" style="62" bestFit="1" customWidth="1"/>
    <col min="12" max="12" width="14.42578125" style="62" bestFit="1" customWidth="1"/>
    <col min="13" max="13" width="15.85546875" style="63" customWidth="1"/>
    <col min="14" max="14" width="15.42578125" style="62" customWidth="1"/>
    <col min="15" max="15" width="7.1406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162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8" t="s">
        <v>139</v>
      </c>
      <c r="I4" s="128" t="s">
        <v>140</v>
      </c>
      <c r="J4" s="144"/>
      <c r="K4" s="128" t="s">
        <v>143</v>
      </c>
      <c r="L4" s="128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>G6+G118+G139+G162+G189+G215+G239+G290</f>
        <v>17032809</v>
      </c>
      <c r="H5" s="40">
        <f t="shared" ref="H5:N5" si="0">H6+H118+H139+H162+H189+H215+H239+H290</f>
        <v>7670114.8999999985</v>
      </c>
      <c r="I5" s="40">
        <f t="shared" si="0"/>
        <v>7216902.7999999998</v>
      </c>
      <c r="J5" s="24">
        <f t="shared" si="0"/>
        <v>7563506.67906</v>
      </c>
      <c r="K5" s="24">
        <f t="shared" si="0"/>
        <v>1037650.31197</v>
      </c>
      <c r="L5" s="40">
        <f t="shared" si="0"/>
        <v>1496178.5867000001</v>
      </c>
      <c r="M5" s="24">
        <f t="shared" si="0"/>
        <v>7116476.8519000001</v>
      </c>
      <c r="N5" s="24">
        <f t="shared" si="0"/>
        <v>100425.94810000015</v>
      </c>
      <c r="O5" s="66">
        <f>M5/I5*100</f>
        <v>98.608461955452697</v>
      </c>
      <c r="P5" s="60">
        <f t="shared" ref="P5:P8" si="1">J5-M5</f>
        <v>447029.82715999987</v>
      </c>
      <c r="Q5" s="29">
        <f t="shared" ref="Q5:Q8" si="2">H5-J5</f>
        <v>106608.22093999851</v>
      </c>
      <c r="R5" s="74">
        <v>1103576</v>
      </c>
      <c r="S5" s="74">
        <f t="shared" ref="S5:S8" si="3">G5-M5</f>
        <v>9916332.1480999999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G7+G13+G35+G39+G42+G45+G111+G115</f>
        <v>5103866</v>
      </c>
      <c r="H6" s="42">
        <f>H7+H13+H35+H39+H42+H45+H111+H115</f>
        <v>2330024.0999999996</v>
      </c>
      <c r="I6" s="42">
        <f>I7+I13+I35+I39+I42+I45+I111+I115</f>
        <v>2308147.2000000002</v>
      </c>
      <c r="J6" s="29">
        <f>J7+J13+J35+J39+J42+J45+J111+J115</f>
        <v>2303829.8181500002</v>
      </c>
      <c r="K6" s="29">
        <f>'1.02.'!M6</f>
        <v>305263.96490999998</v>
      </c>
      <c r="L6" s="42">
        <f>L7+L13+L35+L39+L42+L45+L111+L115</f>
        <v>439990.15542000002</v>
      </c>
      <c r="M6" s="29">
        <f>M7+M13+M35+M39+M42+M45+M111+M115</f>
        <v>2292906.6775500001</v>
      </c>
      <c r="N6" s="29">
        <f>N7+N13+N35+N39+N42+N45+N111+N115</f>
        <v>15240.522449999995</v>
      </c>
      <c r="O6" s="66">
        <f t="shared" ref="O6:O70" si="4">M6/I6*100</f>
        <v>99.339707517354185</v>
      </c>
      <c r="P6" s="60">
        <f t="shared" si="1"/>
        <v>10923.140600000042</v>
      </c>
      <c r="Q6" s="29">
        <f t="shared" si="2"/>
        <v>26194.281849999446</v>
      </c>
      <c r="R6" s="74">
        <v>1103577</v>
      </c>
      <c r="S6" s="74">
        <f t="shared" si="3"/>
        <v>2810959.3224499999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1038722.5</v>
      </c>
      <c r="I7" s="42">
        <f t="shared" si="5"/>
        <v>1038167.5</v>
      </c>
      <c r="J7" s="29">
        <f t="shared" si="5"/>
        <v>1038167.40621</v>
      </c>
      <c r="K7" s="29">
        <f>'1.02.'!M7</f>
        <v>164988.70772999999</v>
      </c>
      <c r="L7" s="42">
        <f t="shared" si="5"/>
        <v>227764</v>
      </c>
      <c r="M7" s="29">
        <f t="shared" si="5"/>
        <v>1038167.40621</v>
      </c>
      <c r="N7" s="29">
        <f t="shared" si="5"/>
        <v>9.3789999998989515E-2</v>
      </c>
      <c r="O7" s="68">
        <f t="shared" si="4"/>
        <v>99.999990965812358</v>
      </c>
      <c r="P7" s="60">
        <f t="shared" si="1"/>
        <v>0</v>
      </c>
      <c r="Q7" s="29">
        <f t="shared" si="2"/>
        <v>555.09378999995533</v>
      </c>
      <c r="R7" s="74">
        <v>1103578</v>
      </c>
      <c r="S7" s="74">
        <f t="shared" si="3"/>
        <v>1012087.59379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1012303</v>
      </c>
      <c r="I8" s="59">
        <f t="shared" si="6"/>
        <v>1012303</v>
      </c>
      <c r="J8" s="33">
        <f>J9</f>
        <v>1012303</v>
      </c>
      <c r="K8" s="29">
        <f>'1.02.'!M8</f>
        <v>150000</v>
      </c>
      <c r="L8" s="29">
        <f t="shared" si="6"/>
        <v>227764</v>
      </c>
      <c r="M8" s="29">
        <f t="shared" si="6"/>
        <v>1012303</v>
      </c>
      <c r="N8" s="29">
        <f t="shared" si="6"/>
        <v>0</v>
      </c>
      <c r="O8" s="68">
        <f t="shared" si="4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1002671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1012303</v>
      </c>
      <c r="I9" s="37">
        <v>1012303</v>
      </c>
      <c r="J9" s="75">
        <f>M9</f>
        <v>1012303</v>
      </c>
      <c r="K9" s="35">
        <f>'1.07. '!M9</f>
        <v>784539</v>
      </c>
      <c r="L9" s="35">
        <v>227764</v>
      </c>
      <c r="M9" s="35">
        <f>K9+L9</f>
        <v>1012303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1002671</v>
      </c>
      <c r="T9" s="62">
        <f>G9-J9</f>
        <v>1002671</v>
      </c>
    </row>
    <row r="10" spans="1:20" s="73" customFormat="1" ht="38.25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26419.5</v>
      </c>
      <c r="I10" s="59">
        <f t="shared" si="7"/>
        <v>25864.5</v>
      </c>
      <c r="J10" s="33">
        <f>J11+J12</f>
        <v>25864.406210000001</v>
      </c>
      <c r="K10" s="29">
        <f>'1.02.'!M10</f>
        <v>14988.70773</v>
      </c>
      <c r="L10" s="29">
        <f t="shared" si="7"/>
        <v>0</v>
      </c>
      <c r="M10" s="29">
        <f t="shared" si="7"/>
        <v>25864.406210000001</v>
      </c>
      <c r="N10" s="29">
        <f t="shared" si="7"/>
        <v>9.3789999998989515E-2</v>
      </c>
      <c r="O10" s="68">
        <f t="shared" si="4"/>
        <v>99.999637379419667</v>
      </c>
      <c r="P10" s="60">
        <f t="shared" ref="P10:P74" si="8">J10-M10</f>
        <v>0</v>
      </c>
      <c r="Q10" s="29">
        <f t="shared" ref="Q10:Q74" si="9">H10-J10</f>
        <v>555.09378999999899</v>
      </c>
      <c r="R10" s="74">
        <v>1103581</v>
      </c>
      <c r="S10" s="74">
        <f t="shared" ref="S10:S74" si="10">G10-M10</f>
        <v>9416.593789999999</v>
      </c>
      <c r="T10" s="62">
        <f t="shared" ref="T10:T45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'1.07. '!M11</f>
        <v>1190</v>
      </c>
      <c r="L11" s="35"/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'1.07. '!M12</f>
        <v>24674.406210000001</v>
      </c>
      <c r="L12" s="35"/>
      <c r="M12" s="35">
        <f>K12+L12</f>
        <v>24674.406210000001</v>
      </c>
      <c r="N12" s="35">
        <f>I12-M12</f>
        <v>9.3789999998989515E-2</v>
      </c>
      <c r="O12" s="70">
        <f t="shared" si="4"/>
        <v>99.999619890980568</v>
      </c>
      <c r="P12" s="71">
        <f t="shared" si="8"/>
        <v>0</v>
      </c>
      <c r="Q12" s="35">
        <f t="shared" si="9"/>
        <v>9.3789999998989515E-2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38.25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272229</v>
      </c>
      <c r="H13" s="33">
        <f t="shared" si="12"/>
        <v>163848.9</v>
      </c>
      <c r="I13" s="33">
        <f t="shared" si="12"/>
        <v>159832.29999999999</v>
      </c>
      <c r="J13" s="29">
        <f t="shared" si="12"/>
        <v>163847.90766000003</v>
      </c>
      <c r="K13" s="29">
        <f>'1.02.'!M13</f>
        <v>15275.257180000001</v>
      </c>
      <c r="L13" s="29">
        <f t="shared" si="12"/>
        <v>28124.144799999995</v>
      </c>
      <c r="M13" s="29">
        <f t="shared" si="12"/>
        <v>159830.06706000003</v>
      </c>
      <c r="N13" s="29">
        <f t="shared" si="12"/>
        <v>2.2329399999999282</v>
      </c>
      <c r="O13" s="68">
        <f t="shared" si="4"/>
        <v>99.998602948215122</v>
      </c>
      <c r="P13" s="71">
        <f t="shared" si="8"/>
        <v>4017.8405999999959</v>
      </c>
      <c r="Q13" s="35">
        <f t="shared" si="9"/>
        <v>0.99233999996795319</v>
      </c>
      <c r="R13" s="72">
        <v>1103584</v>
      </c>
      <c r="S13" s="72">
        <f t="shared" si="10"/>
        <v>112398.93293999997</v>
      </c>
      <c r="T13" s="62">
        <f t="shared" si="11"/>
        <v>108381.09233999997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SUM(G15:G34)</f>
        <v>272229</v>
      </c>
      <c r="H14" s="59">
        <f t="shared" ref="H14:K14" si="13">SUM(H15:H34)</f>
        <v>163848.9</v>
      </c>
      <c r="I14" s="59">
        <f t="shared" si="13"/>
        <v>159832.29999999999</v>
      </c>
      <c r="J14" s="29">
        <f t="shared" si="13"/>
        <v>163847.90766000003</v>
      </c>
      <c r="K14" s="29">
        <f t="shared" si="13"/>
        <v>131705.92226000002</v>
      </c>
      <c r="L14" s="29">
        <f>SUM(L15:L34)</f>
        <v>28124.144799999995</v>
      </c>
      <c r="M14" s="29">
        <f t="shared" ref="M14:N14" si="14">SUM(M15:M34)</f>
        <v>159830.06706000003</v>
      </c>
      <c r="N14" s="29">
        <f t="shared" si="14"/>
        <v>2.2329399999999282</v>
      </c>
      <c r="O14" s="68">
        <f t="shared" si="4"/>
        <v>99.998602948215122</v>
      </c>
      <c r="P14" s="35">
        <f t="shared" si="8"/>
        <v>4017.8405999999959</v>
      </c>
      <c r="Q14" s="35">
        <f t="shared" si="9"/>
        <v>0.99233999996795319</v>
      </c>
      <c r="R14" s="72">
        <v>1103585</v>
      </c>
      <c r="S14" s="72">
        <f t="shared" si="10"/>
        <v>112398.93293999997</v>
      </c>
      <c r="T14" s="62">
        <f>G14-J14</f>
        <v>108381.09233999997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121539-1020-413.7-2369</f>
        <v>117736.3</v>
      </c>
      <c r="H15" s="26">
        <v>66197.3</v>
      </c>
      <c r="I15" s="26">
        <v>66197.3</v>
      </c>
      <c r="J15" s="75">
        <f t="shared" ref="J15:J34" si="15">M15</f>
        <v>66197.3</v>
      </c>
      <c r="K15" s="35">
        <f>'1.07. '!M15</f>
        <v>58566.3</v>
      </c>
      <c r="L15" s="27">
        <v>7631</v>
      </c>
      <c r="M15" s="35">
        <f>K15+L15</f>
        <v>66197.3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51539</v>
      </c>
      <c r="T15" s="62">
        <f t="shared" si="11"/>
        <v>51539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17318+7540+642.7+10108.4</f>
        <v>35609.1</v>
      </c>
      <c r="H16" s="26">
        <v>35609.1</v>
      </c>
      <c r="I16" s="26">
        <v>35609.1</v>
      </c>
      <c r="J16" s="75">
        <f t="shared" si="15"/>
        <v>35609.06</v>
      </c>
      <c r="K16" s="35">
        <f>'1.07. '!M16</f>
        <v>25500.61</v>
      </c>
      <c r="L16" s="27">
        <v>10108.450000000001</v>
      </c>
      <c r="M16" s="35">
        <f t="shared" ref="M16:M34" si="16">K16+L16</f>
        <v>35609.06</v>
      </c>
      <c r="N16" s="35">
        <f t="shared" ref="N16:N34" si="17">I16-M16</f>
        <v>4.0000000000873115E-2</v>
      </c>
      <c r="O16" s="70">
        <f t="shared" si="4"/>
        <v>99.999887669163215</v>
      </c>
      <c r="P16" s="71">
        <f t="shared" si="8"/>
        <v>0</v>
      </c>
      <c r="Q16" s="35">
        <f t="shared" si="9"/>
        <v>4.0000000000873115E-2</v>
      </c>
      <c r="R16" s="72">
        <v>1103587</v>
      </c>
      <c r="S16" s="72">
        <f t="shared" si="10"/>
        <v>4.0000000000873115E-2</v>
      </c>
      <c r="T16" s="62">
        <f t="shared" si="11"/>
        <v>4.0000000000873115E-2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13159.3</v>
      </c>
      <c r="I17" s="26">
        <v>13159.3</v>
      </c>
      <c r="J17" s="75">
        <f t="shared" si="15"/>
        <v>13159.042000000001</v>
      </c>
      <c r="K17" s="35">
        <f>'1.07. '!M17</f>
        <v>9342.2960000000003</v>
      </c>
      <c r="L17" s="27">
        <v>3816.7460000000001</v>
      </c>
      <c r="M17" s="35">
        <f t="shared" si="16"/>
        <v>13159.042000000001</v>
      </c>
      <c r="N17" s="35">
        <f t="shared" si="17"/>
        <v>0.25799999999799184</v>
      </c>
      <c r="O17" s="70">
        <f t="shared" si="4"/>
        <v>99.998039409391097</v>
      </c>
      <c r="P17" s="71">
        <f t="shared" si="8"/>
        <v>0</v>
      </c>
      <c r="Q17" s="35">
        <f t="shared" si="9"/>
        <v>0.25799999999799184</v>
      </c>
      <c r="R17" s="72">
        <v>1103588</v>
      </c>
      <c r="S17" s="72">
        <f t="shared" si="10"/>
        <v>7096.9579999999987</v>
      </c>
      <c r="T17" s="62">
        <f t="shared" si="11"/>
        <v>7096.9579999999987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4860-300-110-100</f>
        <v>4350</v>
      </c>
      <c r="H18" s="26">
        <v>2715</v>
      </c>
      <c r="I18" s="26">
        <v>2715</v>
      </c>
      <c r="J18" s="75">
        <f t="shared" si="15"/>
        <v>2715</v>
      </c>
      <c r="K18" s="35">
        <f>'1.07. '!M18</f>
        <v>2257.4670000000001</v>
      </c>
      <c r="L18" s="27">
        <v>457.53300000000002</v>
      </c>
      <c r="M18" s="35">
        <f>K18+L18</f>
        <v>2715</v>
      </c>
      <c r="N18" s="35">
        <f>I18-M18</f>
        <v>0</v>
      </c>
      <c r="O18" s="70">
        <f>M18/I18*100</f>
        <v>100</v>
      </c>
      <c r="P18" s="71">
        <f t="shared" si="8"/>
        <v>0</v>
      </c>
      <c r="Q18" s="35">
        <f t="shared" si="9"/>
        <v>0</v>
      </c>
      <c r="R18" s="72">
        <v>1103589</v>
      </c>
      <c r="S18" s="72">
        <f t="shared" si="10"/>
        <v>1635</v>
      </c>
      <c r="T18" s="62">
        <f t="shared" si="11"/>
        <v>1635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5331</v>
      </c>
      <c r="I19" s="26">
        <v>5331</v>
      </c>
      <c r="J19" s="75">
        <f t="shared" si="15"/>
        <v>5331</v>
      </c>
      <c r="K19" s="35">
        <f>'1.07. '!M19</f>
        <v>4713</v>
      </c>
      <c r="L19" s="27">
        <v>618</v>
      </c>
      <c r="M19" s="35">
        <f t="shared" si="16"/>
        <v>5331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3000</v>
      </c>
      <c r="T19" s="62">
        <f t="shared" si="11"/>
        <v>3000</v>
      </c>
    </row>
    <row r="20" spans="1:20" s="73" customFormat="1">
      <c r="A20" s="9"/>
      <c r="B20" s="9"/>
      <c r="C20" s="9"/>
      <c r="D20" s="69"/>
      <c r="E20" s="69">
        <v>122</v>
      </c>
      <c r="F20" s="136" t="s">
        <v>91</v>
      </c>
      <c r="G20" s="26">
        <f>6943-520-65-200</f>
        <v>6158</v>
      </c>
      <c r="H20" s="26">
        <v>3780</v>
      </c>
      <c r="I20" s="26">
        <v>3780</v>
      </c>
      <c r="J20" s="75">
        <v>3779.99964</v>
      </c>
      <c r="K20" s="35">
        <f>'1.07. '!M20</f>
        <v>3164.8646400000002</v>
      </c>
      <c r="L20" s="27">
        <v>615.13499999999999</v>
      </c>
      <c r="M20" s="35">
        <f t="shared" si="16"/>
        <v>3779.99964</v>
      </c>
      <c r="N20" s="35">
        <f t="shared" si="17"/>
        <v>3.6000000000058208E-4</v>
      </c>
      <c r="O20" s="70">
        <f t="shared" si="4"/>
        <v>99.999990476190476</v>
      </c>
      <c r="P20" s="71">
        <f t="shared" si="8"/>
        <v>0</v>
      </c>
      <c r="Q20" s="35">
        <f t="shared" si="9"/>
        <v>3.6000000000058208E-4</v>
      </c>
      <c r="R20" s="72">
        <v>1103591</v>
      </c>
      <c r="S20" s="72">
        <f t="shared" si="10"/>
        <v>2378.00036</v>
      </c>
      <c r="T20" s="62">
        <f t="shared" si="11"/>
        <v>2378.00036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/>
      <c r="I21" s="26"/>
      <c r="J21" s="75">
        <f t="shared" si="15"/>
        <v>0</v>
      </c>
      <c r="K21" s="35">
        <f>'1.07. '!M21</f>
        <v>0</v>
      </c>
      <c r="L21" s="27"/>
      <c r="M21" s="35">
        <f t="shared" si="16"/>
        <v>0</v>
      </c>
      <c r="N21" s="35">
        <f t="shared" si="17"/>
        <v>0</v>
      </c>
      <c r="O21" s="70" t="e">
        <f t="shared" si="4"/>
        <v>#DIV/0!</v>
      </c>
      <c r="P21" s="71">
        <f t="shared" si="8"/>
        <v>0</v>
      </c>
      <c r="Q21" s="35">
        <f t="shared" si="9"/>
        <v>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4166-200-54</f>
        <v>3912</v>
      </c>
      <c r="H22" s="26">
        <v>2366</v>
      </c>
      <c r="I22" s="26">
        <v>2366</v>
      </c>
      <c r="J22" s="75">
        <v>2365.9998399999999</v>
      </c>
      <c r="K22" s="35">
        <f>'1.07. '!M22</f>
        <v>1990.9998399999997</v>
      </c>
      <c r="L22" s="27">
        <v>375</v>
      </c>
      <c r="M22" s="35">
        <f t="shared" si="16"/>
        <v>2365.9998399999995</v>
      </c>
      <c r="N22" s="35">
        <f t="shared" si="17"/>
        <v>1.6000000050553354E-4</v>
      </c>
      <c r="O22" s="70">
        <f t="shared" si="4"/>
        <v>99.999993237531683</v>
      </c>
      <c r="P22" s="71">
        <f t="shared" si="8"/>
        <v>0</v>
      </c>
      <c r="Q22" s="35">
        <f t="shared" si="9"/>
        <v>1.6000000005078618E-4</v>
      </c>
      <c r="R22" s="72">
        <v>1103593</v>
      </c>
      <c r="S22" s="72">
        <f t="shared" si="10"/>
        <v>1546.0001600000005</v>
      </c>
      <c r="T22" s="62">
        <f t="shared" si="11"/>
        <v>1546.0001600000001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11318</v>
      </c>
      <c r="I23" s="26">
        <v>11318</v>
      </c>
      <c r="J23" s="75">
        <f t="shared" si="15"/>
        <v>11318</v>
      </c>
      <c r="K23" s="35">
        <f>'1.07. '!M23</f>
        <v>8918</v>
      </c>
      <c r="L23" s="27">
        <v>2400</v>
      </c>
      <c r="M23" s="35">
        <f t="shared" si="16"/>
        <v>11318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8015</v>
      </c>
      <c r="T23" s="62">
        <f t="shared" si="11"/>
        <v>8015</v>
      </c>
    </row>
    <row r="24" spans="1:20" s="73" customFormat="1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1435</v>
      </c>
      <c r="I24" s="26">
        <v>1435</v>
      </c>
      <c r="J24" s="75">
        <f t="shared" si="15"/>
        <v>1435</v>
      </c>
      <c r="K24" s="35">
        <f>'1.07. '!M24</f>
        <v>1169</v>
      </c>
      <c r="L24" s="27">
        <v>266</v>
      </c>
      <c r="M24" s="35">
        <f t="shared" si="16"/>
        <v>1435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1694</v>
      </c>
      <c r="T24" s="62">
        <f t="shared" si="11"/>
        <v>1694</v>
      </c>
    </row>
    <row r="25" spans="1:20" s="73" customFormat="1" ht="25.5" hidden="1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'1.07. '!M25</f>
        <v>0</v>
      </c>
      <c r="L25" s="27"/>
      <c r="M25" s="35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'1.07. '!M26</f>
        <v>2074.99856</v>
      </c>
      <c r="L26" s="27"/>
      <c r="M26" s="35">
        <f t="shared" si="16"/>
        <v>2074.99856</v>
      </c>
      <c r="N26" s="35">
        <f t="shared" si="17"/>
        <v>1.4400000000023283E-3</v>
      </c>
      <c r="O26" s="70">
        <f t="shared" si="4"/>
        <v>99.999930602409634</v>
      </c>
      <c r="P26" s="71">
        <f t="shared" si="8"/>
        <v>0</v>
      </c>
      <c r="Q26" s="35">
        <f t="shared" si="9"/>
        <v>1.4400000000023283E-3</v>
      </c>
      <c r="R26" s="72">
        <v>1103597</v>
      </c>
      <c r="S26" s="72">
        <f t="shared" si="10"/>
        <v>1.4400000000023283E-3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429.8</v>
      </c>
      <c r="I27" s="26">
        <v>429.8</v>
      </c>
      <c r="J27" s="75">
        <f>M27</f>
        <v>429.76</v>
      </c>
      <c r="K27" s="35">
        <f>'1.07. '!M27</f>
        <v>307.56</v>
      </c>
      <c r="L27" s="27">
        <v>122.2</v>
      </c>
      <c r="M27" s="35">
        <f t="shared" si="16"/>
        <v>429.76</v>
      </c>
      <c r="N27" s="35">
        <f t="shared" si="17"/>
        <v>4.0000000000020464E-2</v>
      </c>
      <c r="O27" s="70">
        <f t="shared" si="4"/>
        <v>99.990693345742201</v>
      </c>
      <c r="P27" s="71">
        <f t="shared" si="8"/>
        <v>0</v>
      </c>
      <c r="Q27" s="35">
        <f t="shared" si="9"/>
        <v>4.0000000000020464E-2</v>
      </c>
      <c r="R27" s="72">
        <v>1103598</v>
      </c>
      <c r="S27" s="72">
        <f t="shared" si="10"/>
        <v>3740.24</v>
      </c>
      <c r="T27" s="62">
        <f t="shared" si="11"/>
        <v>3740.24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f>10733+8578</f>
        <v>19311</v>
      </c>
      <c r="H28" s="26">
        <v>6435.3</v>
      </c>
      <c r="I28" s="26">
        <v>6435.3</v>
      </c>
      <c r="J28" s="75">
        <f t="shared" si="15"/>
        <v>6435.2422699999997</v>
      </c>
      <c r="K28" s="35">
        <f>'1.07. '!M28</f>
        <v>6206.64102</v>
      </c>
      <c r="L28" s="27">
        <v>228.60124999999999</v>
      </c>
      <c r="M28" s="35">
        <f t="shared" si="16"/>
        <v>6435.2422699999997</v>
      </c>
      <c r="N28" s="35">
        <f t="shared" si="17"/>
        <v>5.7730000000447035E-2</v>
      </c>
      <c r="O28" s="70">
        <f t="shared" si="4"/>
        <v>99.999102916724937</v>
      </c>
      <c r="P28" s="71">
        <f t="shared" si="8"/>
        <v>0</v>
      </c>
      <c r="Q28" s="35">
        <f t="shared" si="9"/>
        <v>5.7730000000447035E-2</v>
      </c>
      <c r="R28" s="72">
        <v>1103599</v>
      </c>
      <c r="S28" s="72">
        <f t="shared" si="10"/>
        <v>12875.757730000001</v>
      </c>
      <c r="T28" s="62">
        <f t="shared" si="11"/>
        <v>12875.757730000001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f>7302-555</f>
        <v>6747</v>
      </c>
      <c r="H29" s="26">
        <v>5416.5</v>
      </c>
      <c r="I29" s="26">
        <v>2429.6</v>
      </c>
      <c r="J29" s="75">
        <v>5416.4143599999998</v>
      </c>
      <c r="K29" s="35">
        <f>'1.07. '!M29</f>
        <v>1975.9999999999998</v>
      </c>
      <c r="L29" s="27">
        <v>453.6</v>
      </c>
      <c r="M29" s="35">
        <f t="shared" si="16"/>
        <v>2429.6</v>
      </c>
      <c r="N29" s="35">
        <f t="shared" si="17"/>
        <v>0</v>
      </c>
      <c r="O29" s="70">
        <f t="shared" si="4"/>
        <v>100</v>
      </c>
      <c r="P29" s="71">
        <f t="shared" si="8"/>
        <v>2986.8143599999999</v>
      </c>
      <c r="Q29" s="35">
        <f t="shared" si="9"/>
        <v>8.5640000000239525E-2</v>
      </c>
      <c r="R29" s="72">
        <v>1103600</v>
      </c>
      <c r="S29" s="72">
        <f t="shared" si="10"/>
        <v>4317.3999999999996</v>
      </c>
      <c r="T29" s="62">
        <f t="shared" si="11"/>
        <v>1330.5856400000002</v>
      </c>
    </row>
    <row r="30" spans="1:20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427</v>
      </c>
      <c r="J30" s="75">
        <v>730</v>
      </c>
      <c r="K30" s="35">
        <f>'1.07. '!M30</f>
        <v>364.99799999999993</v>
      </c>
      <c r="L30" s="27">
        <v>60.832999999999998</v>
      </c>
      <c r="M30" s="35">
        <f t="shared" si="16"/>
        <v>425.8309999999999</v>
      </c>
      <c r="N30" s="35">
        <f t="shared" si="17"/>
        <v>1.1690000000000964</v>
      </c>
      <c r="O30" s="70">
        <f t="shared" si="4"/>
        <v>99.726229508196695</v>
      </c>
      <c r="P30" s="71">
        <f t="shared" si="8"/>
        <v>304.1690000000001</v>
      </c>
      <c r="Q30" s="35">
        <f t="shared" si="9"/>
        <v>0</v>
      </c>
      <c r="R30" s="72">
        <v>1103601</v>
      </c>
      <c r="S30" s="72">
        <f t="shared" si="10"/>
        <v>304.1690000000001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2649+450+3000</f>
        <v>6099</v>
      </c>
      <c r="H31" s="26">
        <v>2686</v>
      </c>
      <c r="I31" s="26">
        <v>1959.3</v>
      </c>
      <c r="J31" s="35">
        <v>2685.9999899999998</v>
      </c>
      <c r="K31" s="35">
        <f>'1.07. '!M31</f>
        <v>1646.1871999999998</v>
      </c>
      <c r="L31" s="27">
        <v>312.95555000000002</v>
      </c>
      <c r="M31" s="35">
        <f t="shared" si="16"/>
        <v>1959.14275</v>
      </c>
      <c r="N31" s="35">
        <f t="shared" si="17"/>
        <v>0.15724999999997635</v>
      </c>
      <c r="O31" s="70">
        <f t="shared" si="4"/>
        <v>99.991974174450064</v>
      </c>
      <c r="P31" s="71">
        <f t="shared" si="8"/>
        <v>726.85723999999982</v>
      </c>
      <c r="Q31" s="35">
        <f t="shared" si="9"/>
        <v>1.0000000202126103E-5</v>
      </c>
      <c r="R31" s="72">
        <v>1103602</v>
      </c>
      <c r="S31" s="72">
        <f t="shared" si="10"/>
        <v>4139.85725</v>
      </c>
      <c r="T31" s="62">
        <f t="shared" si="11"/>
        <v>3413.0000100000002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27054-450-5500-5-6884.4</f>
        <v>14214.6</v>
      </c>
      <c r="H32" s="26">
        <v>4160.6000000000004</v>
      </c>
      <c r="I32" s="26">
        <v>4160.6000000000004</v>
      </c>
      <c r="J32" s="75">
        <f t="shared" si="15"/>
        <v>4160.0910000000003</v>
      </c>
      <c r="K32" s="35">
        <f>'1.07. '!M32</f>
        <v>3502</v>
      </c>
      <c r="L32" s="27">
        <v>658.09100000000001</v>
      </c>
      <c r="M32" s="35">
        <f t="shared" si="16"/>
        <v>4160.0910000000003</v>
      </c>
      <c r="N32" s="35">
        <f t="shared" si="17"/>
        <v>0.50900000000001455</v>
      </c>
      <c r="O32" s="70">
        <f t="shared" si="4"/>
        <v>99.987766187569108</v>
      </c>
      <c r="P32" s="71">
        <f t="shared" si="8"/>
        <v>0</v>
      </c>
      <c r="Q32" s="35">
        <f t="shared" si="9"/>
        <v>0.50900000000001455</v>
      </c>
      <c r="R32" s="72">
        <v>1103603</v>
      </c>
      <c r="S32" s="72">
        <f t="shared" si="10"/>
        <v>10054.509</v>
      </c>
      <c r="T32" s="62">
        <f t="shared" si="11"/>
        <v>10054.509</v>
      </c>
    </row>
    <row r="33" spans="1:20" s="73" customFormat="1">
      <c r="A33" s="9"/>
      <c r="B33" s="9"/>
      <c r="C33" s="9"/>
      <c r="D33" s="69"/>
      <c r="E33" s="69">
        <v>168</v>
      </c>
      <c r="F33" s="136" t="s">
        <v>167</v>
      </c>
      <c r="G33" s="26">
        <v>5</v>
      </c>
      <c r="H33" s="26">
        <v>5</v>
      </c>
      <c r="I33" s="26">
        <v>5</v>
      </c>
      <c r="J33" s="75">
        <f t="shared" si="15"/>
        <v>5</v>
      </c>
      <c r="K33" s="35">
        <f>'1.07. '!M33</f>
        <v>5</v>
      </c>
      <c r="L33" s="27"/>
      <c r="M33" s="35">
        <f t="shared" si="16"/>
        <v>5</v>
      </c>
      <c r="N33" s="35">
        <f t="shared" si="17"/>
        <v>0</v>
      </c>
      <c r="O33" s="70">
        <f t="shared" si="4"/>
        <v>100</v>
      </c>
      <c r="P33" s="71">
        <f t="shared" si="8"/>
        <v>0</v>
      </c>
      <c r="Q33" s="35">
        <f t="shared" si="9"/>
        <v>0</v>
      </c>
      <c r="R33" s="72">
        <v>1103604</v>
      </c>
      <c r="S33" s="72">
        <f t="shared" si="10"/>
        <v>0</v>
      </c>
      <c r="T33" s="62"/>
    </row>
    <row r="34" spans="1:20" s="73" customFormat="1">
      <c r="A34" s="9"/>
      <c r="B34" s="9"/>
      <c r="C34" s="9"/>
      <c r="D34" s="69"/>
      <c r="E34" s="69">
        <v>169</v>
      </c>
      <c r="F34" s="136" t="s">
        <v>103</v>
      </c>
      <c r="G34" s="26"/>
      <c r="H34" s="26"/>
      <c r="I34" s="26"/>
      <c r="J34" s="75">
        <f t="shared" si="15"/>
        <v>0</v>
      </c>
      <c r="K34" s="35">
        <f>'1.07. '!M34</f>
        <v>0</v>
      </c>
      <c r="L34" s="27"/>
      <c r="M34" s="35">
        <f t="shared" si="16"/>
        <v>0</v>
      </c>
      <c r="N34" s="35">
        <f t="shared" si="17"/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1103604</v>
      </c>
      <c r="S34" s="72">
        <f t="shared" si="10"/>
        <v>0</v>
      </c>
      <c r="T34" s="62">
        <f t="shared" si="11"/>
        <v>0</v>
      </c>
    </row>
    <row r="35" spans="1:20">
      <c r="A35" s="9"/>
      <c r="B35" s="9"/>
      <c r="C35" s="8" t="s">
        <v>16</v>
      </c>
      <c r="D35" s="69"/>
      <c r="E35" s="69"/>
      <c r="F35" s="120" t="s">
        <v>104</v>
      </c>
      <c r="G35" s="23">
        <f>G36+G37+G38</f>
        <v>2325</v>
      </c>
      <c r="H35" s="23">
        <f t="shared" ref="H35:M35" si="18">H36+H37+H38</f>
        <v>0</v>
      </c>
      <c r="I35" s="23">
        <f t="shared" si="18"/>
        <v>0</v>
      </c>
      <c r="J35" s="23">
        <f t="shared" si="18"/>
        <v>0</v>
      </c>
      <c r="K35" s="35">
        <f>'1.05.'!M34</f>
        <v>0</v>
      </c>
      <c r="L35" s="24">
        <f t="shared" si="18"/>
        <v>0</v>
      </c>
      <c r="M35" s="24">
        <f t="shared" si="18"/>
        <v>0</v>
      </c>
      <c r="N35" s="24">
        <f>N36+N37+N38</f>
        <v>0</v>
      </c>
      <c r="O35" s="70" t="e">
        <f t="shared" si="4"/>
        <v>#DIV/0!</v>
      </c>
      <c r="P35" s="71">
        <f t="shared" si="8"/>
        <v>0</v>
      </c>
      <c r="Q35" s="35">
        <f t="shared" si="9"/>
        <v>0</v>
      </c>
      <c r="R35" s="72">
        <v>1103605</v>
      </c>
      <c r="S35" s="72">
        <f t="shared" si="10"/>
        <v>2325</v>
      </c>
      <c r="T35" s="62">
        <f t="shared" si="11"/>
        <v>2325</v>
      </c>
    </row>
    <row r="36" spans="1:20" hidden="1">
      <c r="A36" s="9"/>
      <c r="B36" s="9"/>
      <c r="C36" s="8"/>
      <c r="D36" s="69"/>
      <c r="E36" s="69">
        <v>413</v>
      </c>
      <c r="F36" s="78" t="s">
        <v>17</v>
      </c>
      <c r="G36" s="26"/>
      <c r="H36" s="26"/>
      <c r="I36" s="26"/>
      <c r="J36" s="105"/>
      <c r="K36" s="35">
        <f>'1.05.'!M35</f>
        <v>0</v>
      </c>
      <c r="L36" s="27"/>
      <c r="M36" s="35">
        <f t="shared" ref="M36:M38" si="19">K36+L36</f>
        <v>0</v>
      </c>
      <c r="N36" s="27"/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1103606</v>
      </c>
      <c r="S36" s="72">
        <f t="shared" si="10"/>
        <v>0</v>
      </c>
      <c r="T36" s="62">
        <f t="shared" si="11"/>
        <v>0</v>
      </c>
    </row>
    <row r="37" spans="1:20" ht="25.5">
      <c r="A37" s="9"/>
      <c r="B37" s="9"/>
      <c r="C37" s="9"/>
      <c r="D37" s="69"/>
      <c r="E37" s="69">
        <v>414</v>
      </c>
      <c r="F37" s="50" t="s">
        <v>105</v>
      </c>
      <c r="G37" s="26">
        <v>2325</v>
      </c>
      <c r="H37" s="26"/>
      <c r="I37" s="26"/>
      <c r="J37" s="105">
        <f>M37</f>
        <v>0</v>
      </c>
      <c r="K37" s="35">
        <f>'1.05.'!M36</f>
        <v>0</v>
      </c>
      <c r="L37" s="27"/>
      <c r="M37" s="35">
        <f t="shared" si="19"/>
        <v>0</v>
      </c>
      <c r="N37" s="35">
        <f t="shared" ref="N37:N38" si="20">I37-M37</f>
        <v>0</v>
      </c>
      <c r="O37" s="70" t="e">
        <f t="shared" si="4"/>
        <v>#DIV/0!</v>
      </c>
      <c r="P37" s="71">
        <f t="shared" si="8"/>
        <v>0</v>
      </c>
      <c r="Q37" s="35">
        <f t="shared" si="9"/>
        <v>0</v>
      </c>
      <c r="R37" s="72">
        <v>1103607</v>
      </c>
      <c r="S37" s="72">
        <f t="shared" si="10"/>
        <v>2325</v>
      </c>
      <c r="T37" s="62">
        <f t="shared" si="11"/>
        <v>2325</v>
      </c>
    </row>
    <row r="38" spans="1:20" hidden="1">
      <c r="A38" s="9"/>
      <c r="B38" s="9"/>
      <c r="C38" s="9"/>
      <c r="D38" s="69"/>
      <c r="E38" s="69">
        <v>419</v>
      </c>
      <c r="F38" s="86" t="s">
        <v>57</v>
      </c>
      <c r="G38" s="26"/>
      <c r="H38" s="26"/>
      <c r="I38" s="26"/>
      <c r="J38" s="105">
        <f>M38</f>
        <v>0</v>
      </c>
      <c r="K38" s="35">
        <f>'1.05.'!M37</f>
        <v>0</v>
      </c>
      <c r="L38" s="27"/>
      <c r="M38" s="35">
        <f t="shared" si="19"/>
        <v>0</v>
      </c>
      <c r="N38" s="35">
        <f t="shared" si="20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1103608</v>
      </c>
      <c r="S38" s="72">
        <f t="shared" si="10"/>
        <v>0</v>
      </c>
    </row>
    <row r="39" spans="1:20" ht="25.5">
      <c r="A39" s="9"/>
      <c r="B39" s="9"/>
      <c r="C39" s="8" t="s">
        <v>15</v>
      </c>
      <c r="D39" s="21"/>
      <c r="E39" s="21"/>
      <c r="F39" s="120" t="s">
        <v>106</v>
      </c>
      <c r="G39" s="59">
        <f t="shared" ref="G39:N39" si="21">G40</f>
        <v>10400</v>
      </c>
      <c r="H39" s="59">
        <f t="shared" si="21"/>
        <v>10400</v>
      </c>
      <c r="I39" s="59">
        <f>I40</f>
        <v>0</v>
      </c>
      <c r="J39" s="33">
        <f t="shared" si="21"/>
        <v>0</v>
      </c>
      <c r="K39" s="35">
        <f>'1.02.'!M38</f>
        <v>0</v>
      </c>
      <c r="L39" s="29">
        <f t="shared" si="21"/>
        <v>0</v>
      </c>
      <c r="M39" s="29">
        <f t="shared" si="21"/>
        <v>0</v>
      </c>
      <c r="N39" s="29">
        <f t="shared" si="21"/>
        <v>0</v>
      </c>
      <c r="O39" s="70" t="e">
        <f t="shared" si="4"/>
        <v>#DIV/0!</v>
      </c>
      <c r="P39" s="71">
        <f t="shared" si="8"/>
        <v>0</v>
      </c>
      <c r="Q39" s="35">
        <f t="shared" si="9"/>
        <v>10400</v>
      </c>
      <c r="R39" s="72">
        <v>1103609</v>
      </c>
      <c r="S39" s="72">
        <f t="shared" si="10"/>
        <v>10400</v>
      </c>
      <c r="T39" s="62">
        <f t="shared" si="11"/>
        <v>10400</v>
      </c>
    </row>
    <row r="40" spans="1:20">
      <c r="A40" s="9"/>
      <c r="B40" s="9"/>
      <c r="C40" s="8"/>
      <c r="D40" s="54" t="s">
        <v>35</v>
      </c>
      <c r="E40" s="69"/>
      <c r="F40" s="122"/>
      <c r="G40" s="37">
        <f>G41</f>
        <v>10400</v>
      </c>
      <c r="H40" s="37">
        <f>H41</f>
        <v>10400</v>
      </c>
      <c r="I40" s="37">
        <f>I41</f>
        <v>0</v>
      </c>
      <c r="J40" s="75">
        <f>J41</f>
        <v>0</v>
      </c>
      <c r="K40" s="35">
        <f>'1.02.'!M39</f>
        <v>0</v>
      </c>
      <c r="L40" s="35"/>
      <c r="M40" s="35">
        <f>M41</f>
        <v>0</v>
      </c>
      <c r="N40" s="35">
        <f>N41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10400</v>
      </c>
      <c r="R40" s="72">
        <v>1103610</v>
      </c>
      <c r="S40" s="72">
        <f t="shared" si="10"/>
        <v>10400</v>
      </c>
      <c r="T40" s="62">
        <f t="shared" si="11"/>
        <v>10400</v>
      </c>
    </row>
    <row r="41" spans="1:20" ht="25.5">
      <c r="A41" s="9"/>
      <c r="B41" s="9"/>
      <c r="C41" s="9"/>
      <c r="D41" s="69"/>
      <c r="E41" s="69">
        <v>155</v>
      </c>
      <c r="F41" s="117" t="s">
        <v>107</v>
      </c>
      <c r="G41" s="37">
        <v>10400</v>
      </c>
      <c r="H41" s="37">
        <v>10400</v>
      </c>
      <c r="I41" s="37">
        <v>0</v>
      </c>
      <c r="J41" s="75">
        <f>M41</f>
        <v>0</v>
      </c>
      <c r="K41" s="35">
        <f>'1.06.'!M41</f>
        <v>0</v>
      </c>
      <c r="L41" s="35"/>
      <c r="M41" s="35">
        <f t="shared" ref="M41" si="22">K41+L41</f>
        <v>0</v>
      </c>
      <c r="N41" s="35">
        <f t="shared" ref="N41" si="23">I41-M41</f>
        <v>0</v>
      </c>
      <c r="O41" s="70" t="e">
        <f t="shared" si="4"/>
        <v>#DIV/0!</v>
      </c>
      <c r="P41" s="71">
        <f t="shared" si="8"/>
        <v>0</v>
      </c>
      <c r="Q41" s="35">
        <f t="shared" si="9"/>
        <v>10400</v>
      </c>
      <c r="R41" s="72">
        <v>1103611</v>
      </c>
      <c r="S41" s="72">
        <f t="shared" si="10"/>
        <v>10400</v>
      </c>
      <c r="T41" s="62">
        <f t="shared" si="11"/>
        <v>10400</v>
      </c>
    </row>
    <row r="42" spans="1:20" s="73" customFormat="1" ht="38.25">
      <c r="A42" s="116"/>
      <c r="B42" s="116"/>
      <c r="C42" s="119" t="s">
        <v>61</v>
      </c>
      <c r="D42" s="116"/>
      <c r="E42" s="116"/>
      <c r="F42" s="120" t="s">
        <v>62</v>
      </c>
      <c r="G42" s="59">
        <f t="shared" ref="G42:N43" si="24">G43</f>
        <v>1064315</v>
      </c>
      <c r="H42" s="59">
        <f t="shared" si="24"/>
        <v>42939.7</v>
      </c>
      <c r="I42" s="59">
        <f t="shared" si="24"/>
        <v>42939.7</v>
      </c>
      <c r="J42" s="33">
        <f t="shared" si="24"/>
        <v>27701.504280000001</v>
      </c>
      <c r="K42" s="33">
        <f t="shared" si="24"/>
        <v>27701.504280000001</v>
      </c>
      <c r="L42" s="33">
        <f t="shared" si="24"/>
        <v>0</v>
      </c>
      <c r="M42" s="29">
        <f t="shared" si="24"/>
        <v>27701.504280000001</v>
      </c>
      <c r="N42" s="29">
        <f t="shared" si="24"/>
        <v>15238.195719999996</v>
      </c>
      <c r="O42" s="68">
        <f t="shared" si="4"/>
        <v>64.512570604824916</v>
      </c>
      <c r="P42" s="60">
        <f t="shared" si="8"/>
        <v>0</v>
      </c>
      <c r="Q42" s="29">
        <f t="shared" si="9"/>
        <v>15238.195719999996</v>
      </c>
      <c r="R42" s="74">
        <v>1103612</v>
      </c>
      <c r="S42" s="74">
        <f t="shared" si="10"/>
        <v>1036613.49572</v>
      </c>
    </row>
    <row r="43" spans="1:20">
      <c r="A43" s="118"/>
      <c r="B43" s="118"/>
      <c r="C43" s="116"/>
      <c r="D43" s="121" t="s">
        <v>35</v>
      </c>
      <c r="E43" s="118"/>
      <c r="F43" s="122"/>
      <c r="G43" s="37">
        <f t="shared" si="24"/>
        <v>1064315</v>
      </c>
      <c r="H43" s="37">
        <f t="shared" si="24"/>
        <v>42939.7</v>
      </c>
      <c r="I43" s="37">
        <f t="shared" si="24"/>
        <v>42939.7</v>
      </c>
      <c r="J43" s="75">
        <f t="shared" si="24"/>
        <v>27701.504280000001</v>
      </c>
      <c r="K43" s="75">
        <f t="shared" si="24"/>
        <v>27701.504280000001</v>
      </c>
      <c r="L43" s="75">
        <f t="shared" si="24"/>
        <v>0</v>
      </c>
      <c r="M43" s="35">
        <f t="shared" si="24"/>
        <v>27701.504280000001</v>
      </c>
      <c r="N43" s="35">
        <f t="shared" si="24"/>
        <v>15238.195719999996</v>
      </c>
      <c r="O43" s="70">
        <f t="shared" si="4"/>
        <v>64.512570604824916</v>
      </c>
      <c r="P43" s="71">
        <f t="shared" si="8"/>
        <v>0</v>
      </c>
      <c r="Q43" s="35">
        <f t="shared" si="9"/>
        <v>15238.195719999996</v>
      </c>
      <c r="R43" s="72">
        <v>1103613</v>
      </c>
      <c r="S43" s="72">
        <f t="shared" si="10"/>
        <v>1036613.49572</v>
      </c>
    </row>
    <row r="44" spans="1:20">
      <c r="A44" s="118"/>
      <c r="B44" s="118"/>
      <c r="C44" s="118"/>
      <c r="D44" s="118"/>
      <c r="E44" s="118">
        <v>361</v>
      </c>
      <c r="F44" s="117" t="s">
        <v>63</v>
      </c>
      <c r="G44" s="37">
        <v>1064315</v>
      </c>
      <c r="H44" s="37">
        <v>42939.7</v>
      </c>
      <c r="I44" s="37">
        <v>42939.7</v>
      </c>
      <c r="J44" s="75">
        <f>M44</f>
        <v>27701.504280000001</v>
      </c>
      <c r="K44" s="35">
        <f>'1.07. '!M44</f>
        <v>27701.504280000001</v>
      </c>
      <c r="L44" s="35"/>
      <c r="M44" s="35">
        <f t="shared" ref="M44" si="25">K44+L44</f>
        <v>27701.504280000001</v>
      </c>
      <c r="N44" s="35">
        <f t="shared" ref="N44" si="26">I44-M44</f>
        <v>15238.195719999996</v>
      </c>
      <c r="O44" s="70">
        <f t="shared" si="4"/>
        <v>64.512570604824916</v>
      </c>
      <c r="P44" s="71">
        <f t="shared" si="8"/>
        <v>0</v>
      </c>
      <c r="Q44" s="35">
        <f t="shared" si="9"/>
        <v>15238.195719999996</v>
      </c>
      <c r="R44" s="72">
        <v>1103614</v>
      </c>
      <c r="S44" s="72">
        <f t="shared" si="10"/>
        <v>1036613.49572</v>
      </c>
    </row>
    <row r="45" spans="1:20" s="73" customFormat="1" ht="25.5">
      <c r="A45" s="8"/>
      <c r="B45" s="8"/>
      <c r="C45" s="8" t="s">
        <v>21</v>
      </c>
      <c r="D45" s="10"/>
      <c r="E45" s="10"/>
      <c r="F45" s="137" t="s">
        <v>108</v>
      </c>
      <c r="G45" s="81">
        <f>G46</f>
        <v>1483726</v>
      </c>
      <c r="H45" s="81">
        <f t="shared" ref="H45:N46" si="27">H46</f>
        <v>952888</v>
      </c>
      <c r="I45" s="81">
        <f t="shared" si="27"/>
        <v>952888</v>
      </c>
      <c r="J45" s="81">
        <f t="shared" si="27"/>
        <v>952888</v>
      </c>
      <c r="K45" s="29">
        <f>'1.02.'!M44</f>
        <v>125000</v>
      </c>
      <c r="L45" s="81">
        <f t="shared" si="27"/>
        <v>183114</v>
      </c>
      <c r="M45" s="123">
        <f t="shared" si="27"/>
        <v>952888</v>
      </c>
      <c r="N45" s="123">
        <f t="shared" si="27"/>
        <v>0</v>
      </c>
      <c r="O45" s="68">
        <f t="shared" si="4"/>
        <v>100</v>
      </c>
      <c r="P45" s="71">
        <f t="shared" si="8"/>
        <v>0</v>
      </c>
      <c r="Q45" s="35">
        <f t="shared" si="9"/>
        <v>0</v>
      </c>
      <c r="R45" s="72">
        <v>1103615</v>
      </c>
      <c r="S45" s="72">
        <f t="shared" si="10"/>
        <v>530838</v>
      </c>
      <c r="T45" s="62">
        <f t="shared" si="11"/>
        <v>530838</v>
      </c>
    </row>
    <row r="46" spans="1:20" s="73" customFormat="1">
      <c r="A46" s="8"/>
      <c r="B46" s="8"/>
      <c r="C46" s="8"/>
      <c r="D46" s="43" t="s">
        <v>7</v>
      </c>
      <c r="E46" s="44"/>
      <c r="F46" s="135" t="s">
        <v>85</v>
      </c>
      <c r="G46" s="82">
        <f>G47</f>
        <v>1483726</v>
      </c>
      <c r="H46" s="82">
        <f t="shared" si="27"/>
        <v>952888</v>
      </c>
      <c r="I46" s="82">
        <f t="shared" si="27"/>
        <v>952888</v>
      </c>
      <c r="J46" s="82">
        <f t="shared" si="27"/>
        <v>952888</v>
      </c>
      <c r="K46" s="29">
        <f>'1.02.'!M45</f>
        <v>125000</v>
      </c>
      <c r="L46" s="82">
        <f t="shared" si="27"/>
        <v>183114</v>
      </c>
      <c r="M46" s="123">
        <f t="shared" si="27"/>
        <v>952888</v>
      </c>
      <c r="N46" s="123">
        <f t="shared" si="27"/>
        <v>0</v>
      </c>
      <c r="O46" s="70">
        <f t="shared" si="4"/>
        <v>100</v>
      </c>
      <c r="P46" s="71">
        <f t="shared" si="8"/>
        <v>0</v>
      </c>
      <c r="Q46" s="35">
        <f t="shared" si="9"/>
        <v>0</v>
      </c>
      <c r="R46" s="72">
        <v>1103616</v>
      </c>
      <c r="S46" s="72">
        <f t="shared" si="10"/>
        <v>530838</v>
      </c>
      <c r="T46" s="62"/>
    </row>
    <row r="47" spans="1:20" s="73" customFormat="1" ht="25.5">
      <c r="A47" s="8"/>
      <c r="B47" s="8"/>
      <c r="C47" s="8"/>
      <c r="D47" s="45"/>
      <c r="E47" s="46">
        <v>339</v>
      </c>
      <c r="F47" s="138" t="s">
        <v>109</v>
      </c>
      <c r="G47" s="84">
        <f>SUM(G48:G55)</f>
        <v>1483726</v>
      </c>
      <c r="H47" s="84">
        <f>SUM(H48:H55)</f>
        <v>952888</v>
      </c>
      <c r="I47" s="84">
        <f>SUM(I48:I55)</f>
        <v>952888</v>
      </c>
      <c r="J47" s="108">
        <f t="shared" ref="J47" si="28">SUM(J48:J55)</f>
        <v>952888</v>
      </c>
      <c r="K47" s="35">
        <f>'1.02.'!M46</f>
        <v>125000</v>
      </c>
      <c r="L47" s="84">
        <f>SUM(L48:L55)</f>
        <v>183114</v>
      </c>
      <c r="M47" s="123">
        <f>SUM(M48:M55)</f>
        <v>952888</v>
      </c>
      <c r="N47" s="123">
        <f>SUM(N48:N55)</f>
        <v>0</v>
      </c>
      <c r="O47" s="70">
        <f t="shared" si="4"/>
        <v>100</v>
      </c>
      <c r="P47" s="71">
        <f t="shared" si="8"/>
        <v>0</v>
      </c>
      <c r="Q47" s="35">
        <f t="shared" si="9"/>
        <v>0</v>
      </c>
      <c r="R47" s="72">
        <v>1103617</v>
      </c>
      <c r="S47" s="72">
        <f t="shared" si="10"/>
        <v>530838</v>
      </c>
      <c r="T47" s="62"/>
    </row>
    <row r="48" spans="1:20" s="73" customFormat="1">
      <c r="A48" s="8"/>
      <c r="B48" s="8"/>
      <c r="C48" s="8"/>
      <c r="D48" s="45"/>
      <c r="E48" s="46"/>
      <c r="F48" s="47" t="s">
        <v>46</v>
      </c>
      <c r="G48" s="83">
        <f>G58+G67+G76+G85+G94+G103</f>
        <v>547812</v>
      </c>
      <c r="H48" s="83">
        <f t="shared" ref="H48:N48" si="29">H58+H67+H76+H85+H94+H103</f>
        <v>338542</v>
      </c>
      <c r="I48" s="83">
        <f t="shared" si="29"/>
        <v>338542</v>
      </c>
      <c r="J48" s="83">
        <f t="shared" si="29"/>
        <v>338542</v>
      </c>
      <c r="K48" s="83">
        <f t="shared" si="29"/>
        <v>239637</v>
      </c>
      <c r="L48" s="83">
        <f t="shared" si="29"/>
        <v>98905</v>
      </c>
      <c r="M48" s="83">
        <f t="shared" si="29"/>
        <v>338542</v>
      </c>
      <c r="N48" s="83">
        <f t="shared" si="29"/>
        <v>0</v>
      </c>
      <c r="O48" s="70">
        <f t="shared" si="4"/>
        <v>100</v>
      </c>
      <c r="P48" s="71">
        <f t="shared" si="8"/>
        <v>0</v>
      </c>
      <c r="Q48" s="35">
        <f t="shared" si="9"/>
        <v>0</v>
      </c>
      <c r="R48" s="72">
        <v>1103618</v>
      </c>
      <c r="S48" s="72">
        <f t="shared" si="10"/>
        <v>209270</v>
      </c>
      <c r="T48" s="62"/>
    </row>
    <row r="49" spans="1:20" s="73" customFormat="1">
      <c r="A49" s="8"/>
      <c r="B49" s="8"/>
      <c r="C49" s="8"/>
      <c r="D49" s="45"/>
      <c r="E49" s="46"/>
      <c r="F49" s="47" t="s">
        <v>8</v>
      </c>
      <c r="G49" s="83">
        <f t="shared" ref="G49:N55" si="30">G59+G68+G77+G86+G95+G104</f>
        <v>60337</v>
      </c>
      <c r="H49" s="83">
        <f t="shared" si="30"/>
        <v>51763</v>
      </c>
      <c r="I49" s="83">
        <f t="shared" si="30"/>
        <v>51763</v>
      </c>
      <c r="J49" s="83">
        <f t="shared" si="30"/>
        <v>51763</v>
      </c>
      <c r="K49" s="83">
        <f t="shared" si="30"/>
        <v>44595</v>
      </c>
      <c r="L49" s="83">
        <f t="shared" si="30"/>
        <v>7168</v>
      </c>
      <c r="M49" s="83">
        <f t="shared" si="30"/>
        <v>51763</v>
      </c>
      <c r="N49" s="83">
        <f t="shared" si="30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1103619</v>
      </c>
      <c r="S49" s="72">
        <f t="shared" si="10"/>
        <v>8574</v>
      </c>
      <c r="T49" s="62"/>
    </row>
    <row r="50" spans="1:20" s="73" customFormat="1">
      <c r="A50" s="8"/>
      <c r="B50" s="8"/>
      <c r="C50" s="8"/>
      <c r="D50" s="45"/>
      <c r="E50" s="46"/>
      <c r="F50" s="49" t="s">
        <v>9</v>
      </c>
      <c r="G50" s="83">
        <f t="shared" si="30"/>
        <v>142501</v>
      </c>
      <c r="H50" s="83">
        <f t="shared" si="30"/>
        <v>61623</v>
      </c>
      <c r="I50" s="83">
        <f t="shared" si="30"/>
        <v>61623</v>
      </c>
      <c r="J50" s="83">
        <f t="shared" si="30"/>
        <v>61623</v>
      </c>
      <c r="K50" s="83">
        <f t="shared" si="30"/>
        <v>51741</v>
      </c>
      <c r="L50" s="83">
        <f t="shared" si="30"/>
        <v>9882</v>
      </c>
      <c r="M50" s="83">
        <f t="shared" si="30"/>
        <v>61623</v>
      </c>
      <c r="N50" s="83">
        <f t="shared" si="30"/>
        <v>0</v>
      </c>
      <c r="O50" s="70">
        <f t="shared" si="4"/>
        <v>100</v>
      </c>
      <c r="P50" s="71">
        <f t="shared" si="8"/>
        <v>0</v>
      </c>
      <c r="Q50" s="35">
        <f t="shared" si="9"/>
        <v>0</v>
      </c>
      <c r="R50" s="72">
        <v>1103620</v>
      </c>
      <c r="S50" s="72">
        <f t="shared" si="10"/>
        <v>80878</v>
      </c>
      <c r="T50" s="62"/>
    </row>
    <row r="51" spans="1:20" s="73" customFormat="1">
      <c r="A51" s="8"/>
      <c r="B51" s="8"/>
      <c r="C51" s="8"/>
      <c r="D51" s="45"/>
      <c r="E51" s="46"/>
      <c r="F51" s="49" t="s">
        <v>10</v>
      </c>
      <c r="G51" s="83">
        <f t="shared" si="30"/>
        <v>48916</v>
      </c>
      <c r="H51" s="83">
        <f t="shared" si="30"/>
        <v>23750</v>
      </c>
      <c r="I51" s="83">
        <f t="shared" si="30"/>
        <v>23750</v>
      </c>
      <c r="J51" s="83">
        <f t="shared" si="30"/>
        <v>23750</v>
      </c>
      <c r="K51" s="83">
        <f t="shared" si="30"/>
        <v>18752</v>
      </c>
      <c r="L51" s="83">
        <f t="shared" si="30"/>
        <v>4998</v>
      </c>
      <c r="M51" s="83">
        <f t="shared" si="30"/>
        <v>23750</v>
      </c>
      <c r="N51" s="83">
        <f t="shared" si="30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1103621</v>
      </c>
      <c r="S51" s="72">
        <f t="shared" si="10"/>
        <v>25166</v>
      </c>
      <c r="T51" s="62"/>
    </row>
    <row r="52" spans="1:20" s="73" customFormat="1">
      <c r="A52" s="8"/>
      <c r="B52" s="8"/>
      <c r="C52" s="8"/>
      <c r="D52" s="45"/>
      <c r="E52" s="46"/>
      <c r="F52" s="49" t="s">
        <v>47</v>
      </c>
      <c r="G52" s="83">
        <f t="shared" si="30"/>
        <v>85380</v>
      </c>
      <c r="H52" s="83">
        <f t="shared" si="30"/>
        <v>45316</v>
      </c>
      <c r="I52" s="83">
        <f t="shared" si="30"/>
        <v>45316</v>
      </c>
      <c r="J52" s="83">
        <f t="shared" si="30"/>
        <v>45316</v>
      </c>
      <c r="K52" s="83">
        <f t="shared" si="30"/>
        <v>37735</v>
      </c>
      <c r="L52" s="83">
        <f t="shared" si="30"/>
        <v>7581</v>
      </c>
      <c r="M52" s="83">
        <f t="shared" si="30"/>
        <v>45316</v>
      </c>
      <c r="N52" s="83">
        <f t="shared" si="30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1103622</v>
      </c>
      <c r="S52" s="72">
        <f t="shared" si="10"/>
        <v>40064</v>
      </c>
      <c r="T52" s="62"/>
    </row>
    <row r="53" spans="1:20" s="73" customFormat="1">
      <c r="A53" s="8"/>
      <c r="B53" s="8"/>
      <c r="C53" s="8"/>
      <c r="D53" s="45"/>
      <c r="E53" s="46"/>
      <c r="F53" s="49" t="s">
        <v>48</v>
      </c>
      <c r="G53" s="83">
        <f t="shared" si="30"/>
        <v>145294</v>
      </c>
      <c r="H53" s="83">
        <f t="shared" si="30"/>
        <v>55845</v>
      </c>
      <c r="I53" s="83">
        <f t="shared" si="30"/>
        <v>55845</v>
      </c>
      <c r="J53" s="83">
        <f t="shared" si="30"/>
        <v>55845</v>
      </c>
      <c r="K53" s="83">
        <f t="shared" si="30"/>
        <v>47168</v>
      </c>
      <c r="L53" s="83">
        <f t="shared" si="30"/>
        <v>8677</v>
      </c>
      <c r="M53" s="83">
        <f t="shared" si="30"/>
        <v>55845</v>
      </c>
      <c r="N53" s="83">
        <f t="shared" si="30"/>
        <v>0</v>
      </c>
      <c r="O53" s="70">
        <f t="shared" si="4"/>
        <v>100</v>
      </c>
      <c r="P53" s="71">
        <f t="shared" si="8"/>
        <v>0</v>
      </c>
      <c r="Q53" s="35">
        <f t="shared" si="9"/>
        <v>0</v>
      </c>
      <c r="R53" s="72">
        <v>1103623</v>
      </c>
      <c r="S53" s="72">
        <f t="shared" si="10"/>
        <v>89449</v>
      </c>
      <c r="T53" s="62"/>
    </row>
    <row r="54" spans="1:20" s="73" customFormat="1">
      <c r="A54" s="8"/>
      <c r="B54" s="8"/>
      <c r="C54" s="8"/>
      <c r="D54" s="45"/>
      <c r="E54" s="46"/>
      <c r="F54" s="49" t="s">
        <v>12</v>
      </c>
      <c r="G54" s="83">
        <f t="shared" si="30"/>
        <v>379340</v>
      </c>
      <c r="H54" s="83">
        <f t="shared" si="30"/>
        <v>339696</v>
      </c>
      <c r="I54" s="83">
        <f t="shared" si="30"/>
        <v>339696</v>
      </c>
      <c r="J54" s="83">
        <f t="shared" si="30"/>
        <v>339696</v>
      </c>
      <c r="K54" s="83">
        <f t="shared" si="30"/>
        <v>298110</v>
      </c>
      <c r="L54" s="83">
        <f t="shared" si="30"/>
        <v>41586</v>
      </c>
      <c r="M54" s="83">
        <f t="shared" si="30"/>
        <v>339696</v>
      </c>
      <c r="N54" s="83">
        <f t="shared" si="30"/>
        <v>0</v>
      </c>
      <c r="O54" s="70">
        <f t="shared" si="4"/>
        <v>100</v>
      </c>
      <c r="P54" s="71">
        <f t="shared" si="8"/>
        <v>0</v>
      </c>
      <c r="Q54" s="35">
        <f t="shared" si="9"/>
        <v>0</v>
      </c>
      <c r="R54" s="72">
        <v>1103624</v>
      </c>
      <c r="S54" s="72">
        <f t="shared" si="10"/>
        <v>39644</v>
      </c>
      <c r="T54" s="62"/>
    </row>
    <row r="55" spans="1:20" s="73" customFormat="1">
      <c r="A55" s="8"/>
      <c r="B55" s="8"/>
      <c r="C55" s="8"/>
      <c r="D55" s="45"/>
      <c r="E55" s="46"/>
      <c r="F55" s="49" t="s">
        <v>11</v>
      </c>
      <c r="G55" s="83">
        <f t="shared" si="30"/>
        <v>74146</v>
      </c>
      <c r="H55" s="83">
        <f t="shared" si="30"/>
        <v>36353</v>
      </c>
      <c r="I55" s="83">
        <f t="shared" si="30"/>
        <v>36353</v>
      </c>
      <c r="J55" s="83">
        <f t="shared" si="30"/>
        <v>36353</v>
      </c>
      <c r="K55" s="83">
        <f t="shared" si="30"/>
        <v>32036</v>
      </c>
      <c r="L55" s="83">
        <f t="shared" si="30"/>
        <v>4317</v>
      </c>
      <c r="M55" s="83">
        <f t="shared" si="30"/>
        <v>36353</v>
      </c>
      <c r="N55" s="83">
        <f t="shared" si="30"/>
        <v>0</v>
      </c>
      <c r="O55" s="70">
        <f t="shared" si="4"/>
        <v>100</v>
      </c>
      <c r="P55" s="71">
        <f t="shared" si="8"/>
        <v>0</v>
      </c>
      <c r="Q55" s="35">
        <f t="shared" si="9"/>
        <v>0</v>
      </c>
      <c r="R55" s="72">
        <v>1103625</v>
      </c>
      <c r="S55" s="72">
        <f t="shared" si="10"/>
        <v>37793</v>
      </c>
      <c r="T55" s="62"/>
    </row>
    <row r="56" spans="1:20" s="73" customFormat="1">
      <c r="A56" s="8"/>
      <c r="B56" s="8"/>
      <c r="C56" s="8"/>
      <c r="D56" s="45"/>
      <c r="E56" s="46"/>
      <c r="F56" s="50" t="s">
        <v>110</v>
      </c>
      <c r="G56" s="82"/>
      <c r="H56" s="82"/>
      <c r="I56" s="82"/>
      <c r="J56" s="75" t="e">
        <f t="shared" ref="J56:J74" si="31">M56</f>
        <v>#REF!</v>
      </c>
      <c r="K56" s="35" t="e">
        <f>'1.02.'!M55</f>
        <v>#REF!</v>
      </c>
      <c r="L56" s="35"/>
      <c r="M56" s="93" t="e">
        <f t="shared" ref="M56:M74" si="32">K56+L56</f>
        <v>#REF!</v>
      </c>
      <c r="N56" s="35" t="e">
        <f t="shared" ref="N56:N65" si="33">I56-M56</f>
        <v>#REF!</v>
      </c>
      <c r="O56" s="70" t="e">
        <f t="shared" si="4"/>
        <v>#REF!</v>
      </c>
      <c r="P56" s="71" t="e">
        <f t="shared" si="8"/>
        <v>#REF!</v>
      </c>
      <c r="Q56" s="35" t="e">
        <f t="shared" si="9"/>
        <v>#REF!</v>
      </c>
      <c r="R56" s="72">
        <v>1103626</v>
      </c>
      <c r="S56" s="72" t="e">
        <f t="shared" si="10"/>
        <v>#REF!</v>
      </c>
      <c r="T56" s="62"/>
    </row>
    <row r="57" spans="1:20" s="73" customFormat="1">
      <c r="A57" s="8"/>
      <c r="B57" s="8"/>
      <c r="C57" s="8"/>
      <c r="D57" s="44"/>
      <c r="E57" s="52"/>
      <c r="F57" s="53" t="s">
        <v>111</v>
      </c>
      <c r="G57" s="84">
        <f>SUM(G58:G65)</f>
        <v>615150</v>
      </c>
      <c r="H57" s="84">
        <f t="shared" ref="H57:N57" si="34">SUM(H58:H65)</f>
        <v>302625</v>
      </c>
      <c r="I57" s="84">
        <f t="shared" si="34"/>
        <v>302625</v>
      </c>
      <c r="J57" s="108">
        <f t="shared" si="34"/>
        <v>302625</v>
      </c>
      <c r="K57" s="108">
        <f t="shared" si="34"/>
        <v>243279</v>
      </c>
      <c r="L57" s="108">
        <f t="shared" si="34"/>
        <v>59346</v>
      </c>
      <c r="M57" s="123">
        <f t="shared" si="34"/>
        <v>302625</v>
      </c>
      <c r="N57" s="123">
        <f t="shared" si="34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1103627</v>
      </c>
      <c r="S57" s="72">
        <f t="shared" si="10"/>
        <v>312525</v>
      </c>
      <c r="T57" s="62"/>
    </row>
    <row r="58" spans="1:20" s="73" customFormat="1">
      <c r="A58" s="8"/>
      <c r="B58" s="8"/>
      <c r="C58" s="8"/>
      <c r="D58" s="45"/>
      <c r="E58" s="45"/>
      <c r="F58" s="47" t="s">
        <v>46</v>
      </c>
      <c r="G58" s="83">
        <v>233757</v>
      </c>
      <c r="H58" s="83">
        <f>14105+15933+16957+18744+19587+20233</f>
        <v>105559</v>
      </c>
      <c r="I58" s="83">
        <f>H58</f>
        <v>105559</v>
      </c>
      <c r="J58" s="75">
        <f>M58</f>
        <v>105559</v>
      </c>
      <c r="K58" s="35">
        <f>'1.07. '!M58</f>
        <v>85326</v>
      </c>
      <c r="L58" s="35">
        <v>20233</v>
      </c>
      <c r="M58" s="93">
        <f t="shared" si="32"/>
        <v>105559</v>
      </c>
      <c r="N58" s="35">
        <f t="shared" si="33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1103628</v>
      </c>
      <c r="S58" s="72">
        <f t="shared" si="10"/>
        <v>128198</v>
      </c>
      <c r="T58" s="62"/>
    </row>
    <row r="59" spans="1:20" s="73" customFormat="1">
      <c r="A59" s="8"/>
      <c r="B59" s="8"/>
      <c r="C59" s="8"/>
      <c r="D59" s="45"/>
      <c r="E59" s="45"/>
      <c r="F59" s="47" t="s">
        <v>8</v>
      </c>
      <c r="G59" s="83">
        <v>33218</v>
      </c>
      <c r="H59" s="83">
        <f>3154+3907+4339+5408+6049+6361</f>
        <v>29218</v>
      </c>
      <c r="I59" s="83">
        <f t="shared" ref="I59:I65" si="35">H59</f>
        <v>29218</v>
      </c>
      <c r="J59" s="75">
        <f t="shared" si="31"/>
        <v>29218</v>
      </c>
      <c r="K59" s="35">
        <f>'1.07. '!M59</f>
        <v>22857</v>
      </c>
      <c r="L59" s="35">
        <v>6361</v>
      </c>
      <c r="M59" s="93">
        <f t="shared" si="32"/>
        <v>29218</v>
      </c>
      <c r="N59" s="35">
        <f t="shared" si="33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1103629</v>
      </c>
      <c r="S59" s="72">
        <f t="shared" si="10"/>
        <v>4000</v>
      </c>
      <c r="T59" s="62"/>
    </row>
    <row r="60" spans="1:20" s="73" customFormat="1">
      <c r="A60" s="8"/>
      <c r="B60" s="8"/>
      <c r="C60" s="8"/>
      <c r="D60" s="45"/>
      <c r="E60" s="45"/>
      <c r="F60" s="49" t="s">
        <v>9</v>
      </c>
      <c r="G60" s="83">
        <v>91657</v>
      </c>
      <c r="H60" s="83">
        <f>5815+6877+7129+7351+7978+8120</f>
        <v>43270</v>
      </c>
      <c r="I60" s="83">
        <f t="shared" si="35"/>
        <v>43270</v>
      </c>
      <c r="J60" s="75">
        <f t="shared" si="31"/>
        <v>43270</v>
      </c>
      <c r="K60" s="35">
        <f>'1.07. '!M60</f>
        <v>35150</v>
      </c>
      <c r="L60" s="35">
        <v>8120</v>
      </c>
      <c r="M60" s="93">
        <f t="shared" si="32"/>
        <v>43270</v>
      </c>
      <c r="N60" s="35">
        <f t="shared" si="33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1103630</v>
      </c>
      <c r="S60" s="72">
        <f t="shared" si="10"/>
        <v>48387</v>
      </c>
      <c r="T60" s="62"/>
    </row>
    <row r="61" spans="1:20" s="73" customFormat="1">
      <c r="A61" s="8"/>
      <c r="B61" s="8"/>
      <c r="C61" s="8"/>
      <c r="D61" s="45"/>
      <c r="E61" s="45"/>
      <c r="F61" s="49" t="s">
        <v>10</v>
      </c>
      <c r="G61" s="83">
        <v>25221</v>
      </c>
      <c r="H61" s="83">
        <f>1864+2063+2209+2618+2782+3171</f>
        <v>14707</v>
      </c>
      <c r="I61" s="83">
        <f t="shared" si="35"/>
        <v>14707</v>
      </c>
      <c r="J61" s="75">
        <f t="shared" si="31"/>
        <v>14707</v>
      </c>
      <c r="K61" s="35">
        <f>'1.07. '!M61</f>
        <v>11536</v>
      </c>
      <c r="L61" s="35">
        <v>3171</v>
      </c>
      <c r="M61" s="93">
        <f t="shared" si="32"/>
        <v>14707</v>
      </c>
      <c r="N61" s="35">
        <f t="shared" si="33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1103631</v>
      </c>
      <c r="S61" s="72">
        <f t="shared" si="10"/>
        <v>10514</v>
      </c>
      <c r="T61" s="62"/>
    </row>
    <row r="62" spans="1:20" s="73" customFormat="1">
      <c r="A62" s="8"/>
      <c r="B62" s="8"/>
      <c r="C62" s="8"/>
      <c r="D62" s="45"/>
      <c r="E62" s="45"/>
      <c r="F62" s="49" t="s">
        <v>47</v>
      </c>
      <c r="G62" s="83">
        <v>55364</v>
      </c>
      <c r="H62" s="83">
        <f>4910+5242+5520+5520+5820+5854</f>
        <v>32866</v>
      </c>
      <c r="I62" s="83">
        <f t="shared" si="35"/>
        <v>32866</v>
      </c>
      <c r="J62" s="75">
        <f t="shared" si="31"/>
        <v>32866</v>
      </c>
      <c r="K62" s="35">
        <f>'1.07. '!M62</f>
        <v>27012</v>
      </c>
      <c r="L62" s="35">
        <v>5854</v>
      </c>
      <c r="M62" s="93">
        <f t="shared" si="32"/>
        <v>32866</v>
      </c>
      <c r="N62" s="35">
        <f t="shared" si="33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1103632</v>
      </c>
      <c r="S62" s="72">
        <f t="shared" si="10"/>
        <v>22498</v>
      </c>
      <c r="T62" s="62"/>
    </row>
    <row r="63" spans="1:20" s="73" customFormat="1">
      <c r="A63" s="8"/>
      <c r="B63" s="8"/>
      <c r="C63" s="8"/>
      <c r="D63" s="45"/>
      <c r="E63" s="45"/>
      <c r="F63" s="49" t="s">
        <v>48</v>
      </c>
      <c r="G63" s="83">
        <v>96579</v>
      </c>
      <c r="H63" s="83">
        <f>5824+6008+6007+7486+7934+7870</f>
        <v>41129</v>
      </c>
      <c r="I63" s="83">
        <f t="shared" si="35"/>
        <v>41129</v>
      </c>
      <c r="J63" s="75">
        <f t="shared" si="31"/>
        <v>41129</v>
      </c>
      <c r="K63" s="35">
        <f>'1.07. '!M63</f>
        <v>33259</v>
      </c>
      <c r="L63" s="35">
        <v>7870</v>
      </c>
      <c r="M63" s="93">
        <f t="shared" si="32"/>
        <v>41129</v>
      </c>
      <c r="N63" s="35">
        <f t="shared" si="33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1103633</v>
      </c>
      <c r="S63" s="72">
        <f t="shared" si="10"/>
        <v>55450</v>
      </c>
      <c r="T63" s="62"/>
    </row>
    <row r="64" spans="1:20" s="73" customFormat="1">
      <c r="A64" s="8"/>
      <c r="B64" s="8"/>
      <c r="C64" s="8"/>
      <c r="D64" s="45"/>
      <c r="E64" s="45"/>
      <c r="F64" s="49" t="s">
        <v>12</v>
      </c>
      <c r="G64" s="83">
        <v>33833</v>
      </c>
      <c r="H64" s="83">
        <f>2019+2264+2458+2800+3194+3796</f>
        <v>16531</v>
      </c>
      <c r="I64" s="83">
        <f t="shared" si="35"/>
        <v>16531</v>
      </c>
      <c r="J64" s="75">
        <f t="shared" si="31"/>
        <v>16531</v>
      </c>
      <c r="K64" s="35">
        <f>'1.07. '!M64</f>
        <v>12735</v>
      </c>
      <c r="L64" s="35">
        <v>3796</v>
      </c>
      <c r="M64" s="93">
        <f t="shared" si="32"/>
        <v>16531</v>
      </c>
      <c r="N64" s="35">
        <f t="shared" si="33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1103634</v>
      </c>
      <c r="S64" s="72">
        <f t="shared" si="10"/>
        <v>17302</v>
      </c>
      <c r="T64" s="62"/>
    </row>
    <row r="65" spans="1:20" s="73" customFormat="1">
      <c r="A65" s="8"/>
      <c r="B65" s="8"/>
      <c r="C65" s="8"/>
      <c r="D65" s="45"/>
      <c r="E65" s="45"/>
      <c r="F65" s="49" t="s">
        <v>11</v>
      </c>
      <c r="G65" s="83">
        <v>45521</v>
      </c>
      <c r="H65" s="83">
        <f>2410+2633+2674+3800+3887+3941</f>
        <v>19345</v>
      </c>
      <c r="I65" s="83">
        <f t="shared" si="35"/>
        <v>19345</v>
      </c>
      <c r="J65" s="75">
        <f t="shared" si="31"/>
        <v>19345</v>
      </c>
      <c r="K65" s="35">
        <f>'1.07. '!M65</f>
        <v>15404</v>
      </c>
      <c r="L65" s="35">
        <v>3941</v>
      </c>
      <c r="M65" s="93">
        <f t="shared" si="32"/>
        <v>19345</v>
      </c>
      <c r="N65" s="35">
        <f t="shared" si="33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1103635</v>
      </c>
      <c r="S65" s="72">
        <f t="shared" si="10"/>
        <v>26176</v>
      </c>
      <c r="T65" s="62"/>
    </row>
    <row r="66" spans="1:20" s="73" customFormat="1" ht="25.5">
      <c r="A66" s="8"/>
      <c r="B66" s="8"/>
      <c r="C66" s="8"/>
      <c r="D66" s="44"/>
      <c r="E66" s="52"/>
      <c r="F66" s="53" t="s">
        <v>112</v>
      </c>
      <c r="G66" s="84">
        <f>SUM(G67:G74)</f>
        <v>111098</v>
      </c>
      <c r="H66" s="84">
        <f t="shared" ref="H66:N66" si="36">SUM(H67:H74)</f>
        <v>29753</v>
      </c>
      <c r="I66" s="84">
        <f t="shared" si="36"/>
        <v>29753</v>
      </c>
      <c r="J66" s="108">
        <f t="shared" si="36"/>
        <v>29753</v>
      </c>
      <c r="K66" s="108">
        <f t="shared" si="36"/>
        <v>24366</v>
      </c>
      <c r="L66" s="108">
        <f t="shared" si="36"/>
        <v>5387</v>
      </c>
      <c r="M66" s="123">
        <f t="shared" si="36"/>
        <v>29753</v>
      </c>
      <c r="N66" s="123">
        <f t="shared" si="36"/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1103636</v>
      </c>
      <c r="S66" s="72">
        <f t="shared" si="10"/>
        <v>81345</v>
      </c>
      <c r="T66" s="62"/>
    </row>
    <row r="67" spans="1:20" s="73" customFormat="1">
      <c r="A67" s="8"/>
      <c r="B67" s="8"/>
      <c r="C67" s="8"/>
      <c r="D67" s="45"/>
      <c r="E67" s="45"/>
      <c r="F67" s="47" t="s">
        <v>46</v>
      </c>
      <c r="G67" s="83">
        <v>38884</v>
      </c>
      <c r="H67" s="83">
        <f>1421+1689+1718+1574+1629+1646</f>
        <v>9677</v>
      </c>
      <c r="I67" s="83">
        <f>H67</f>
        <v>9677</v>
      </c>
      <c r="J67" s="75">
        <f t="shared" si="31"/>
        <v>9677</v>
      </c>
      <c r="K67" s="35">
        <f>'1.07. '!M67</f>
        <v>8031</v>
      </c>
      <c r="L67" s="35">
        <v>1646</v>
      </c>
      <c r="M67" s="93">
        <f t="shared" si="32"/>
        <v>9677</v>
      </c>
      <c r="N67" s="35">
        <f t="shared" ref="N67:N74" si="37">I67-M67</f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1103637</v>
      </c>
      <c r="S67" s="72">
        <f t="shared" si="10"/>
        <v>29207</v>
      </c>
      <c r="T67" s="62"/>
    </row>
    <row r="68" spans="1:20" s="73" customFormat="1">
      <c r="A68" s="8"/>
      <c r="B68" s="8"/>
      <c r="C68" s="8"/>
      <c r="D68" s="45"/>
      <c r="E68" s="45"/>
      <c r="F68" s="47" t="s">
        <v>8</v>
      </c>
      <c r="G68" s="83">
        <v>7221</v>
      </c>
      <c r="H68" s="83">
        <f>238+322+361+438+481+807</f>
        <v>2647</v>
      </c>
      <c r="I68" s="83">
        <f t="shared" ref="I68:I74" si="38">H68</f>
        <v>2647</v>
      </c>
      <c r="J68" s="75">
        <f t="shared" si="31"/>
        <v>2647</v>
      </c>
      <c r="K68" s="35">
        <f>'1.07. '!M68</f>
        <v>1840</v>
      </c>
      <c r="L68" s="35">
        <v>807</v>
      </c>
      <c r="M68" s="93">
        <f t="shared" si="32"/>
        <v>2647</v>
      </c>
      <c r="N68" s="35">
        <f t="shared" si="37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1103638</v>
      </c>
      <c r="S68" s="72">
        <f t="shared" si="10"/>
        <v>4574</v>
      </c>
      <c r="T68" s="62"/>
    </row>
    <row r="69" spans="1:20" s="73" customFormat="1">
      <c r="A69" s="8"/>
      <c r="B69" s="8"/>
      <c r="C69" s="8"/>
      <c r="D69" s="45"/>
      <c r="E69" s="45"/>
      <c r="F69" s="49" t="s">
        <v>9</v>
      </c>
      <c r="G69" s="83">
        <v>13554</v>
      </c>
      <c r="H69" s="83">
        <f>588+692+689+609+643+657</f>
        <v>3878</v>
      </c>
      <c r="I69" s="83">
        <f t="shared" si="38"/>
        <v>3878</v>
      </c>
      <c r="J69" s="75">
        <f t="shared" si="31"/>
        <v>3878</v>
      </c>
      <c r="K69" s="35">
        <f>'1.07. '!M69</f>
        <v>3221</v>
      </c>
      <c r="L69" s="35">
        <v>657</v>
      </c>
      <c r="M69" s="93">
        <f t="shared" si="32"/>
        <v>3878</v>
      </c>
      <c r="N69" s="35">
        <f t="shared" si="37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1103639</v>
      </c>
      <c r="S69" s="72">
        <f t="shared" si="10"/>
        <v>9676</v>
      </c>
      <c r="T69" s="62"/>
    </row>
    <row r="70" spans="1:20" s="73" customFormat="1">
      <c r="A70" s="8"/>
      <c r="B70" s="8"/>
      <c r="C70" s="8"/>
      <c r="D70" s="45"/>
      <c r="E70" s="45"/>
      <c r="F70" s="49" t="s">
        <v>10</v>
      </c>
      <c r="G70" s="83">
        <v>4777</v>
      </c>
      <c r="H70" s="83">
        <f>215+246+259+233+763+327</f>
        <v>2043</v>
      </c>
      <c r="I70" s="83">
        <f t="shared" si="38"/>
        <v>2043</v>
      </c>
      <c r="J70" s="75">
        <f t="shared" si="31"/>
        <v>2043</v>
      </c>
      <c r="K70" s="35">
        <f>'1.07. '!M70</f>
        <v>1716</v>
      </c>
      <c r="L70" s="35">
        <v>327</v>
      </c>
      <c r="M70" s="93">
        <f t="shared" si="32"/>
        <v>2043</v>
      </c>
      <c r="N70" s="35">
        <f t="shared" si="37"/>
        <v>0</v>
      </c>
      <c r="O70" s="70">
        <f t="shared" si="4"/>
        <v>100</v>
      </c>
      <c r="P70" s="71">
        <f t="shared" si="8"/>
        <v>0</v>
      </c>
      <c r="Q70" s="35">
        <f t="shared" si="9"/>
        <v>0</v>
      </c>
      <c r="R70" s="72">
        <v>1103640</v>
      </c>
      <c r="S70" s="72">
        <f t="shared" si="10"/>
        <v>2734</v>
      </c>
      <c r="T70" s="62"/>
    </row>
    <row r="71" spans="1:20" s="73" customFormat="1">
      <c r="A71" s="8"/>
      <c r="B71" s="8"/>
      <c r="C71" s="8"/>
      <c r="D71" s="45"/>
      <c r="E71" s="45"/>
      <c r="F71" s="49" t="s">
        <v>47</v>
      </c>
      <c r="G71" s="83">
        <v>10999</v>
      </c>
      <c r="H71" s="83">
        <f>508+650+573+459+488+477</f>
        <v>3155</v>
      </c>
      <c r="I71" s="83">
        <f t="shared" si="38"/>
        <v>3155</v>
      </c>
      <c r="J71" s="75">
        <f t="shared" si="31"/>
        <v>3155</v>
      </c>
      <c r="K71" s="35">
        <f>'1.07. '!M71</f>
        <v>2678</v>
      </c>
      <c r="L71" s="35">
        <v>477</v>
      </c>
      <c r="M71" s="93">
        <f t="shared" si="32"/>
        <v>3155</v>
      </c>
      <c r="N71" s="35">
        <f t="shared" si="37"/>
        <v>0</v>
      </c>
      <c r="O71" s="70">
        <f t="shared" ref="O71:O74" si="39">M71/I71*100</f>
        <v>100</v>
      </c>
      <c r="P71" s="71">
        <f t="shared" si="8"/>
        <v>0</v>
      </c>
      <c r="Q71" s="35">
        <f t="shared" si="9"/>
        <v>0</v>
      </c>
      <c r="R71" s="72">
        <v>1103641</v>
      </c>
      <c r="S71" s="72">
        <f t="shared" si="10"/>
        <v>7844</v>
      </c>
      <c r="T71" s="62"/>
    </row>
    <row r="72" spans="1:20" s="73" customFormat="1">
      <c r="A72" s="8"/>
      <c r="B72" s="8"/>
      <c r="C72" s="8"/>
      <c r="D72" s="45"/>
      <c r="E72" s="45"/>
      <c r="F72" s="49" t="s">
        <v>48</v>
      </c>
      <c r="G72" s="83">
        <v>21109</v>
      </c>
      <c r="H72" s="83">
        <f>766+770+765+796+812+807</f>
        <v>4716</v>
      </c>
      <c r="I72" s="83">
        <f t="shared" si="38"/>
        <v>4716</v>
      </c>
      <c r="J72" s="75">
        <f t="shared" si="31"/>
        <v>4716</v>
      </c>
      <c r="K72" s="35">
        <f>'1.07. '!M72</f>
        <v>3909</v>
      </c>
      <c r="L72" s="35">
        <v>807</v>
      </c>
      <c r="M72" s="93">
        <f t="shared" si="32"/>
        <v>4716</v>
      </c>
      <c r="N72" s="35">
        <f t="shared" si="37"/>
        <v>0</v>
      </c>
      <c r="O72" s="70">
        <f t="shared" si="39"/>
        <v>100</v>
      </c>
      <c r="P72" s="71">
        <f t="shared" si="8"/>
        <v>0</v>
      </c>
      <c r="Q72" s="35">
        <f t="shared" si="9"/>
        <v>0</v>
      </c>
      <c r="R72" s="72">
        <v>1103642</v>
      </c>
      <c r="S72" s="72">
        <f t="shared" si="10"/>
        <v>16393</v>
      </c>
      <c r="T72" s="62"/>
    </row>
    <row r="73" spans="1:20" s="73" customFormat="1">
      <c r="A73" s="8"/>
      <c r="B73" s="8"/>
      <c r="C73" s="8"/>
      <c r="D73" s="45"/>
      <c r="E73" s="45"/>
      <c r="F73" s="49" t="s">
        <v>12</v>
      </c>
      <c r="G73" s="83">
        <v>6554</v>
      </c>
      <c r="H73" s="83">
        <f>234+267+315+266+257+290</f>
        <v>1629</v>
      </c>
      <c r="I73" s="83">
        <f t="shared" si="38"/>
        <v>1629</v>
      </c>
      <c r="J73" s="75">
        <f t="shared" si="31"/>
        <v>1629</v>
      </c>
      <c r="K73" s="35">
        <f>'1.07. '!M73</f>
        <v>1339</v>
      </c>
      <c r="L73" s="35">
        <v>290</v>
      </c>
      <c r="M73" s="93">
        <f t="shared" si="32"/>
        <v>1629</v>
      </c>
      <c r="N73" s="35">
        <f t="shared" si="37"/>
        <v>0</v>
      </c>
      <c r="O73" s="70">
        <f t="shared" si="39"/>
        <v>100</v>
      </c>
      <c r="P73" s="71">
        <f t="shared" si="8"/>
        <v>0</v>
      </c>
      <c r="Q73" s="35">
        <f t="shared" si="9"/>
        <v>0</v>
      </c>
      <c r="R73" s="72">
        <v>1103643</v>
      </c>
      <c r="S73" s="72">
        <f t="shared" si="10"/>
        <v>4925</v>
      </c>
      <c r="T73" s="62"/>
    </row>
    <row r="74" spans="1:20" s="73" customFormat="1">
      <c r="A74" s="8"/>
      <c r="B74" s="8"/>
      <c r="C74" s="8"/>
      <c r="D74" s="45"/>
      <c r="E74" s="45"/>
      <c r="F74" s="49" t="s">
        <v>11</v>
      </c>
      <c r="G74" s="83">
        <v>8000</v>
      </c>
      <c r="H74" s="83">
        <f>267+286+318+378+383+376</f>
        <v>2008</v>
      </c>
      <c r="I74" s="83">
        <f t="shared" si="38"/>
        <v>2008</v>
      </c>
      <c r="J74" s="75">
        <f t="shared" si="31"/>
        <v>2008</v>
      </c>
      <c r="K74" s="35">
        <f>'1.07. '!M74</f>
        <v>1632</v>
      </c>
      <c r="L74" s="35">
        <v>376</v>
      </c>
      <c r="M74" s="93">
        <f t="shared" si="32"/>
        <v>2008</v>
      </c>
      <c r="N74" s="35">
        <f t="shared" si="37"/>
        <v>0</v>
      </c>
      <c r="O74" s="70">
        <f t="shared" si="39"/>
        <v>100</v>
      </c>
      <c r="P74" s="71">
        <f t="shared" si="8"/>
        <v>0</v>
      </c>
      <c r="Q74" s="35">
        <f t="shared" si="9"/>
        <v>0</v>
      </c>
      <c r="R74" s="72">
        <v>1103644</v>
      </c>
      <c r="S74" s="72">
        <f t="shared" si="10"/>
        <v>5992</v>
      </c>
      <c r="T74" s="62"/>
    </row>
    <row r="75" spans="1:20" s="73" customFormat="1">
      <c r="A75" s="8"/>
      <c r="B75" s="8"/>
      <c r="C75" s="8"/>
      <c r="D75" s="45"/>
      <c r="E75" s="45"/>
      <c r="F75" s="51" t="s">
        <v>58</v>
      </c>
      <c r="G75" s="82">
        <f>SUM(G76:G83)</f>
        <v>314536</v>
      </c>
      <c r="H75" s="82">
        <f t="shared" ref="H75:O75" si="40">SUM(H76:H83)</f>
        <v>314536</v>
      </c>
      <c r="I75" s="82">
        <f t="shared" si="40"/>
        <v>314536</v>
      </c>
      <c r="J75" s="108">
        <f t="shared" si="40"/>
        <v>314536</v>
      </c>
      <c r="K75" s="108">
        <f t="shared" si="40"/>
        <v>277536</v>
      </c>
      <c r="L75" s="108">
        <f t="shared" si="40"/>
        <v>37000</v>
      </c>
      <c r="M75" s="123">
        <f t="shared" si="40"/>
        <v>314536</v>
      </c>
      <c r="N75" s="123">
        <f t="shared" si="40"/>
        <v>0</v>
      </c>
      <c r="O75" s="82" t="e">
        <f t="shared" si="40"/>
        <v>#DIV/0!</v>
      </c>
      <c r="P75" s="71">
        <f t="shared" ref="P75:P157" si="41">J75-M75</f>
        <v>0</v>
      </c>
      <c r="Q75" s="35">
        <f t="shared" ref="Q75:Q157" si="42">H75-J75</f>
        <v>0</v>
      </c>
      <c r="R75" s="72">
        <v>1103645</v>
      </c>
      <c r="S75" s="72">
        <f t="shared" ref="S75:S157" si="43">G75-M75</f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46</v>
      </c>
      <c r="G76" s="83"/>
      <c r="H76" s="83"/>
      <c r="I76" s="83"/>
      <c r="J76" s="75">
        <f t="shared" ref="J76:J83" si="44">M76</f>
        <v>0</v>
      </c>
      <c r="K76" s="35">
        <f>'1.06.'!M76</f>
        <v>0</v>
      </c>
      <c r="L76" s="35"/>
      <c r="M76" s="93">
        <f t="shared" ref="M76:M83" si="45">K76+L76</f>
        <v>0</v>
      </c>
      <c r="N76" s="35">
        <f t="shared" ref="N76:N83" si="46">I76-M76</f>
        <v>0</v>
      </c>
      <c r="O76" s="70" t="e">
        <f t="shared" ref="O76:O83" si="47">M76/I76*100</f>
        <v>#DIV/0!</v>
      </c>
      <c r="P76" s="71">
        <f t="shared" si="41"/>
        <v>0</v>
      </c>
      <c r="Q76" s="35">
        <f t="shared" si="42"/>
        <v>0</v>
      </c>
      <c r="R76" s="72">
        <v>1103646</v>
      </c>
      <c r="S76" s="72">
        <f t="shared" si="43"/>
        <v>0</v>
      </c>
      <c r="T76" s="62"/>
    </row>
    <row r="77" spans="1:20" s="73" customFormat="1">
      <c r="A77" s="8"/>
      <c r="B77" s="8"/>
      <c r="C77" s="8"/>
      <c r="D77" s="45"/>
      <c r="E77" s="45"/>
      <c r="F77" s="47" t="s">
        <v>8</v>
      </c>
      <c r="G77" s="83"/>
      <c r="H77" s="83"/>
      <c r="I77" s="83"/>
      <c r="J77" s="75">
        <f t="shared" si="44"/>
        <v>0</v>
      </c>
      <c r="K77" s="35">
        <f>'1.06.'!M77</f>
        <v>0</v>
      </c>
      <c r="L77" s="35"/>
      <c r="M77" s="93">
        <f t="shared" si="45"/>
        <v>0</v>
      </c>
      <c r="N77" s="35">
        <f t="shared" si="46"/>
        <v>0</v>
      </c>
      <c r="O77" s="70" t="e">
        <f t="shared" si="47"/>
        <v>#DIV/0!</v>
      </c>
      <c r="P77" s="71">
        <f t="shared" si="41"/>
        <v>0</v>
      </c>
      <c r="Q77" s="35">
        <f t="shared" si="42"/>
        <v>0</v>
      </c>
      <c r="R77" s="72">
        <v>1103647</v>
      </c>
      <c r="S77" s="72">
        <f t="shared" si="43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9</v>
      </c>
      <c r="G78" s="83"/>
      <c r="H78" s="83"/>
      <c r="I78" s="83"/>
      <c r="J78" s="75">
        <f t="shared" si="44"/>
        <v>0</v>
      </c>
      <c r="K78" s="35">
        <f>'1.06.'!M78</f>
        <v>0</v>
      </c>
      <c r="L78" s="35"/>
      <c r="M78" s="93">
        <f t="shared" si="45"/>
        <v>0</v>
      </c>
      <c r="N78" s="35">
        <f t="shared" si="46"/>
        <v>0</v>
      </c>
      <c r="O78" s="70" t="e">
        <f t="shared" si="47"/>
        <v>#DIV/0!</v>
      </c>
      <c r="P78" s="71">
        <f t="shared" si="41"/>
        <v>0</v>
      </c>
      <c r="Q78" s="35">
        <f t="shared" si="42"/>
        <v>0</v>
      </c>
      <c r="R78" s="72">
        <v>1103648</v>
      </c>
      <c r="S78" s="72">
        <f t="shared" si="43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10</v>
      </c>
      <c r="G79" s="83"/>
      <c r="H79" s="83"/>
      <c r="I79" s="83"/>
      <c r="J79" s="75">
        <f t="shared" si="44"/>
        <v>0</v>
      </c>
      <c r="K79" s="35">
        <f>'1.06.'!M79</f>
        <v>0</v>
      </c>
      <c r="L79" s="35"/>
      <c r="M79" s="93">
        <f t="shared" si="45"/>
        <v>0</v>
      </c>
      <c r="N79" s="35">
        <f t="shared" si="46"/>
        <v>0</v>
      </c>
      <c r="O79" s="70" t="e">
        <f t="shared" si="47"/>
        <v>#DIV/0!</v>
      </c>
      <c r="P79" s="71">
        <f t="shared" si="41"/>
        <v>0</v>
      </c>
      <c r="Q79" s="35">
        <f t="shared" si="42"/>
        <v>0</v>
      </c>
      <c r="R79" s="72">
        <v>1103649</v>
      </c>
      <c r="S79" s="72">
        <f t="shared" si="43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47</v>
      </c>
      <c r="G80" s="83"/>
      <c r="H80" s="83"/>
      <c r="I80" s="83"/>
      <c r="J80" s="75">
        <f t="shared" si="44"/>
        <v>0</v>
      </c>
      <c r="K80" s="35">
        <f>'1.06.'!M80</f>
        <v>0</v>
      </c>
      <c r="L80" s="35"/>
      <c r="M80" s="93">
        <f t="shared" si="45"/>
        <v>0</v>
      </c>
      <c r="N80" s="35">
        <f t="shared" si="46"/>
        <v>0</v>
      </c>
      <c r="O80" s="70" t="e">
        <f t="shared" si="47"/>
        <v>#DIV/0!</v>
      </c>
      <c r="P80" s="71">
        <f t="shared" si="41"/>
        <v>0</v>
      </c>
      <c r="Q80" s="35">
        <f t="shared" si="42"/>
        <v>0</v>
      </c>
      <c r="R80" s="72">
        <v>1103650</v>
      </c>
      <c r="S80" s="72">
        <f t="shared" si="43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48</v>
      </c>
      <c r="G81" s="83"/>
      <c r="H81" s="83"/>
      <c r="I81" s="83"/>
      <c r="J81" s="75">
        <f t="shared" si="44"/>
        <v>0</v>
      </c>
      <c r="K81" s="35">
        <f>'1.06.'!M81</f>
        <v>0</v>
      </c>
      <c r="L81" s="35"/>
      <c r="M81" s="93">
        <f t="shared" si="45"/>
        <v>0</v>
      </c>
      <c r="N81" s="35">
        <f t="shared" si="46"/>
        <v>0</v>
      </c>
      <c r="O81" s="70" t="e">
        <f t="shared" si="47"/>
        <v>#DIV/0!</v>
      </c>
      <c r="P81" s="71">
        <f t="shared" si="41"/>
        <v>0</v>
      </c>
      <c r="Q81" s="35">
        <f t="shared" si="42"/>
        <v>0</v>
      </c>
      <c r="R81" s="72">
        <v>1103651</v>
      </c>
      <c r="S81" s="72">
        <f t="shared" si="43"/>
        <v>0</v>
      </c>
      <c r="T81" s="62"/>
    </row>
    <row r="82" spans="1:20" s="73" customFormat="1">
      <c r="A82" s="8"/>
      <c r="B82" s="8"/>
      <c r="C82" s="8"/>
      <c r="D82" s="45"/>
      <c r="E82" s="45"/>
      <c r="F82" s="49" t="s">
        <v>12</v>
      </c>
      <c r="G82" s="83">
        <v>314536</v>
      </c>
      <c r="H82" s="83">
        <v>314536</v>
      </c>
      <c r="I82" s="83">
        <f>125000+119478+33058+37000</f>
        <v>314536</v>
      </c>
      <c r="J82" s="75">
        <f t="shared" si="44"/>
        <v>314536</v>
      </c>
      <c r="K82" s="35">
        <f>'1.07. '!M82</f>
        <v>277536</v>
      </c>
      <c r="L82" s="35">
        <v>37000</v>
      </c>
      <c r="M82" s="93">
        <f t="shared" si="45"/>
        <v>314536</v>
      </c>
      <c r="N82" s="35">
        <f t="shared" si="46"/>
        <v>0</v>
      </c>
      <c r="O82" s="70">
        <f t="shared" si="47"/>
        <v>100</v>
      </c>
      <c r="P82" s="71">
        <f t="shared" si="41"/>
        <v>0</v>
      </c>
      <c r="Q82" s="35">
        <f t="shared" si="42"/>
        <v>0</v>
      </c>
      <c r="R82" s="72">
        <v>1103652</v>
      </c>
      <c r="S82" s="72">
        <f t="shared" si="43"/>
        <v>0</v>
      </c>
      <c r="T82" s="62"/>
    </row>
    <row r="83" spans="1:20" s="73" customFormat="1">
      <c r="A83" s="8"/>
      <c r="B83" s="8"/>
      <c r="C83" s="8"/>
      <c r="D83" s="45"/>
      <c r="E83" s="45"/>
      <c r="F83" s="49" t="s">
        <v>11</v>
      </c>
      <c r="G83" s="83"/>
      <c r="H83" s="83"/>
      <c r="I83" s="83"/>
      <c r="J83" s="75">
        <f t="shared" si="44"/>
        <v>0</v>
      </c>
      <c r="K83" s="35">
        <f>'1.06.'!M83</f>
        <v>0</v>
      </c>
      <c r="L83" s="35"/>
      <c r="M83" s="93">
        <f t="shared" si="45"/>
        <v>0</v>
      </c>
      <c r="N83" s="35">
        <f t="shared" si="46"/>
        <v>0</v>
      </c>
      <c r="O83" s="70" t="e">
        <f t="shared" si="47"/>
        <v>#DIV/0!</v>
      </c>
      <c r="P83" s="71">
        <f t="shared" si="41"/>
        <v>0</v>
      </c>
      <c r="Q83" s="35">
        <f t="shared" si="42"/>
        <v>0</v>
      </c>
      <c r="R83" s="72">
        <v>1103653</v>
      </c>
      <c r="S83" s="72">
        <f t="shared" si="43"/>
        <v>0</v>
      </c>
      <c r="T83" s="62"/>
    </row>
    <row r="84" spans="1:20" s="73" customFormat="1" ht="25.5">
      <c r="A84" s="8"/>
      <c r="B84" s="8"/>
      <c r="C84" s="8"/>
      <c r="D84" s="45"/>
      <c r="E84" s="45"/>
      <c r="F84" s="51" t="s">
        <v>59</v>
      </c>
      <c r="G84" s="82">
        <f>SUM(G85:G92)</f>
        <v>293942</v>
      </c>
      <c r="H84" s="82">
        <f t="shared" ref="H84:O84" si="48">SUM(H85:H92)</f>
        <v>248745</v>
      </c>
      <c r="I84" s="82">
        <f t="shared" si="48"/>
        <v>248745</v>
      </c>
      <c r="J84" s="108">
        <f t="shared" si="48"/>
        <v>248745</v>
      </c>
      <c r="K84" s="108">
        <f t="shared" si="48"/>
        <v>179345</v>
      </c>
      <c r="L84" s="108">
        <f t="shared" si="48"/>
        <v>69400</v>
      </c>
      <c r="M84" s="123">
        <f t="shared" si="48"/>
        <v>248745</v>
      </c>
      <c r="N84" s="123">
        <f t="shared" si="48"/>
        <v>0</v>
      </c>
      <c r="O84" s="82">
        <f t="shared" si="48"/>
        <v>800</v>
      </c>
      <c r="P84" s="71">
        <f t="shared" si="41"/>
        <v>0</v>
      </c>
      <c r="Q84" s="35">
        <f t="shared" si="42"/>
        <v>0</v>
      </c>
      <c r="R84" s="72">
        <v>1103654</v>
      </c>
      <c r="S84" s="72">
        <f t="shared" si="43"/>
        <v>45197</v>
      </c>
      <c r="T84" s="62"/>
    </row>
    <row r="85" spans="1:20" s="73" customFormat="1">
      <c r="A85" s="8"/>
      <c r="B85" s="8"/>
      <c r="C85" s="8"/>
      <c r="D85" s="45"/>
      <c r="E85" s="45"/>
      <c r="F85" s="47" t="s">
        <v>46</v>
      </c>
      <c r="G85" s="83">
        <v>188942</v>
      </c>
      <c r="H85" s="83">
        <f>20908+10000+29084+13201+68790+31037</f>
        <v>173020</v>
      </c>
      <c r="I85" s="83">
        <f>20908+10000+29084+13201+34782+65045</f>
        <v>173020</v>
      </c>
      <c r="J85" s="75">
        <f t="shared" ref="J85:J92" si="49">M85</f>
        <v>173020</v>
      </c>
      <c r="K85" s="35">
        <f>'1.07. '!M85</f>
        <v>107975</v>
      </c>
      <c r="L85" s="35">
        <v>65045</v>
      </c>
      <c r="M85" s="93">
        <f t="shared" ref="M85:M92" si="50">K85+L85</f>
        <v>173020</v>
      </c>
      <c r="N85" s="35">
        <f t="shared" ref="N85:N92" si="51">I85-M85</f>
        <v>0</v>
      </c>
      <c r="O85" s="70">
        <f t="shared" ref="O85:O167" si="52">M85/I85*100</f>
        <v>100</v>
      </c>
      <c r="P85" s="71">
        <f t="shared" si="41"/>
        <v>0</v>
      </c>
      <c r="Q85" s="35">
        <f t="shared" si="42"/>
        <v>0</v>
      </c>
      <c r="R85" s="72">
        <v>1103655</v>
      </c>
      <c r="S85" s="72">
        <f t="shared" si="43"/>
        <v>15922</v>
      </c>
      <c r="T85" s="62"/>
    </row>
    <row r="86" spans="1:20" s="73" customFormat="1">
      <c r="A86" s="8"/>
      <c r="B86" s="8"/>
      <c r="C86" s="8"/>
      <c r="D86" s="45"/>
      <c r="E86" s="45"/>
      <c r="F86" s="47" t="s">
        <v>8</v>
      </c>
      <c r="G86" s="83">
        <v>15000</v>
      </c>
      <c r="H86" s="83">
        <f>6986+7406+608</f>
        <v>15000</v>
      </c>
      <c r="I86" s="83">
        <f t="shared" ref="I86:I92" si="53">H86</f>
        <v>15000</v>
      </c>
      <c r="J86" s="75">
        <f t="shared" si="49"/>
        <v>15000</v>
      </c>
      <c r="K86" s="35">
        <f>'1.07. '!M86</f>
        <v>15000</v>
      </c>
      <c r="L86" s="35"/>
      <c r="M86" s="93">
        <f t="shared" si="50"/>
        <v>15000</v>
      </c>
      <c r="N86" s="35">
        <f t="shared" si="51"/>
        <v>0</v>
      </c>
      <c r="O86" s="70">
        <f t="shared" si="52"/>
        <v>100</v>
      </c>
      <c r="P86" s="71">
        <f t="shared" si="41"/>
        <v>0</v>
      </c>
      <c r="Q86" s="35">
        <f t="shared" si="42"/>
        <v>0</v>
      </c>
      <c r="R86" s="72">
        <v>1103656</v>
      </c>
      <c r="S86" s="72">
        <f t="shared" si="43"/>
        <v>0</v>
      </c>
      <c r="T86" s="62"/>
    </row>
    <row r="87" spans="1:20" s="73" customFormat="1">
      <c r="A87" s="8"/>
      <c r="B87" s="8"/>
      <c r="C87" s="8"/>
      <c r="D87" s="45"/>
      <c r="E87" s="45"/>
      <c r="F87" s="49" t="s">
        <v>9</v>
      </c>
      <c r="G87" s="83">
        <v>15000</v>
      </c>
      <c r="H87" s="83">
        <f>3950+6105+1105+1105+1105+1105</f>
        <v>14475</v>
      </c>
      <c r="I87" s="83">
        <f t="shared" si="53"/>
        <v>14475</v>
      </c>
      <c r="J87" s="75">
        <f t="shared" si="49"/>
        <v>14475</v>
      </c>
      <c r="K87" s="35">
        <f>'1.07. '!M87</f>
        <v>13370</v>
      </c>
      <c r="L87" s="35">
        <v>1105</v>
      </c>
      <c r="M87" s="93">
        <f t="shared" si="50"/>
        <v>14475</v>
      </c>
      <c r="N87" s="35">
        <f t="shared" si="51"/>
        <v>0</v>
      </c>
      <c r="O87" s="70">
        <f t="shared" si="52"/>
        <v>100</v>
      </c>
      <c r="P87" s="71">
        <f t="shared" si="41"/>
        <v>0</v>
      </c>
      <c r="Q87" s="35">
        <f t="shared" si="42"/>
        <v>0</v>
      </c>
      <c r="R87" s="72">
        <v>1103657</v>
      </c>
      <c r="S87" s="72">
        <f t="shared" si="43"/>
        <v>525</v>
      </c>
      <c r="T87" s="62"/>
    </row>
    <row r="88" spans="1:20" s="73" customFormat="1">
      <c r="A88" s="8"/>
      <c r="B88" s="8"/>
      <c r="C88" s="8"/>
      <c r="D88" s="45"/>
      <c r="E88" s="45"/>
      <c r="F88" s="49" t="s">
        <v>10</v>
      </c>
      <c r="G88" s="83">
        <v>15000</v>
      </c>
      <c r="H88" s="83">
        <f>1000+1500+1500+1500+1500</f>
        <v>7000</v>
      </c>
      <c r="I88" s="83">
        <f t="shared" si="53"/>
        <v>7000</v>
      </c>
      <c r="J88" s="75">
        <f t="shared" si="49"/>
        <v>7000</v>
      </c>
      <c r="K88" s="35">
        <f>'1.07. '!M88</f>
        <v>5500</v>
      </c>
      <c r="L88" s="35">
        <v>1500</v>
      </c>
      <c r="M88" s="93">
        <f t="shared" si="50"/>
        <v>7000</v>
      </c>
      <c r="N88" s="35">
        <f t="shared" si="51"/>
        <v>0</v>
      </c>
      <c r="O88" s="70">
        <f t="shared" si="52"/>
        <v>100</v>
      </c>
      <c r="P88" s="71">
        <f t="shared" si="41"/>
        <v>0</v>
      </c>
      <c r="Q88" s="35">
        <f t="shared" si="42"/>
        <v>0</v>
      </c>
      <c r="R88" s="72">
        <v>1103658</v>
      </c>
      <c r="S88" s="72">
        <f t="shared" si="43"/>
        <v>8000</v>
      </c>
      <c r="T88" s="62"/>
    </row>
    <row r="89" spans="1:20" s="73" customFormat="1">
      <c r="A89" s="8"/>
      <c r="B89" s="8"/>
      <c r="C89" s="8"/>
      <c r="D89" s="45"/>
      <c r="E89" s="45"/>
      <c r="F89" s="49" t="s">
        <v>47</v>
      </c>
      <c r="G89" s="83">
        <v>15000</v>
      </c>
      <c r="H89" s="83">
        <f>2500+1250+1250+1250+1250+1250</f>
        <v>8750</v>
      </c>
      <c r="I89" s="83">
        <f t="shared" si="53"/>
        <v>8750</v>
      </c>
      <c r="J89" s="75">
        <f t="shared" si="49"/>
        <v>8750</v>
      </c>
      <c r="K89" s="35">
        <f>'1.07. '!M89</f>
        <v>7500</v>
      </c>
      <c r="L89" s="35">
        <v>1250</v>
      </c>
      <c r="M89" s="93">
        <f t="shared" si="50"/>
        <v>8750</v>
      </c>
      <c r="N89" s="35">
        <f t="shared" si="51"/>
        <v>0</v>
      </c>
      <c r="O89" s="70">
        <f t="shared" si="52"/>
        <v>100</v>
      </c>
      <c r="P89" s="71">
        <f t="shared" si="41"/>
        <v>0</v>
      </c>
      <c r="Q89" s="35">
        <f t="shared" si="42"/>
        <v>0</v>
      </c>
      <c r="R89" s="72">
        <v>1103659</v>
      </c>
      <c r="S89" s="72">
        <f t="shared" si="43"/>
        <v>6250</v>
      </c>
      <c r="T89" s="62"/>
    </row>
    <row r="90" spans="1:20" s="73" customFormat="1">
      <c r="A90" s="8"/>
      <c r="B90" s="8"/>
      <c r="C90" s="8"/>
      <c r="D90" s="45"/>
      <c r="E90" s="45"/>
      <c r="F90" s="49" t="s">
        <v>48</v>
      </c>
      <c r="G90" s="83">
        <v>15000</v>
      </c>
      <c r="H90" s="83">
        <f>5000+5000</f>
        <v>10000</v>
      </c>
      <c r="I90" s="83">
        <f t="shared" si="53"/>
        <v>10000</v>
      </c>
      <c r="J90" s="75">
        <f t="shared" si="49"/>
        <v>10000</v>
      </c>
      <c r="K90" s="35">
        <f>'1.07. '!M90</f>
        <v>10000</v>
      </c>
      <c r="L90" s="35"/>
      <c r="M90" s="93">
        <f t="shared" si="50"/>
        <v>10000</v>
      </c>
      <c r="N90" s="35">
        <f t="shared" si="51"/>
        <v>0</v>
      </c>
      <c r="O90" s="70">
        <f t="shared" si="52"/>
        <v>100</v>
      </c>
      <c r="P90" s="71">
        <f t="shared" si="41"/>
        <v>0</v>
      </c>
      <c r="Q90" s="35">
        <f t="shared" si="42"/>
        <v>0</v>
      </c>
      <c r="R90" s="72">
        <v>1103660</v>
      </c>
      <c r="S90" s="72">
        <f t="shared" si="43"/>
        <v>5000</v>
      </c>
      <c r="T90" s="62"/>
    </row>
    <row r="91" spans="1:20" s="73" customFormat="1">
      <c r="A91" s="8"/>
      <c r="B91" s="8"/>
      <c r="C91" s="8"/>
      <c r="D91" s="45"/>
      <c r="E91" s="45"/>
      <c r="F91" s="49" t="s">
        <v>12</v>
      </c>
      <c r="G91" s="83">
        <v>15000</v>
      </c>
      <c r="H91" s="83">
        <f>1000+1000+1000+1000+1000+500</f>
        <v>5500</v>
      </c>
      <c r="I91" s="83">
        <f t="shared" si="53"/>
        <v>5500</v>
      </c>
      <c r="J91" s="75">
        <f t="shared" si="49"/>
        <v>5500</v>
      </c>
      <c r="K91" s="35">
        <f>'1.07. '!M91</f>
        <v>5000</v>
      </c>
      <c r="L91" s="35">
        <v>500</v>
      </c>
      <c r="M91" s="93">
        <f t="shared" si="50"/>
        <v>5500</v>
      </c>
      <c r="N91" s="35">
        <f t="shared" si="51"/>
        <v>0</v>
      </c>
      <c r="O91" s="70">
        <f t="shared" si="52"/>
        <v>100</v>
      </c>
      <c r="P91" s="71">
        <f t="shared" si="41"/>
        <v>0</v>
      </c>
      <c r="Q91" s="35">
        <f t="shared" si="42"/>
        <v>0</v>
      </c>
      <c r="R91" s="72">
        <v>1103661</v>
      </c>
      <c r="S91" s="72">
        <f t="shared" si="43"/>
        <v>9500</v>
      </c>
      <c r="T91" s="62"/>
    </row>
    <row r="92" spans="1:20" s="73" customFormat="1">
      <c r="A92" s="8"/>
      <c r="B92" s="8"/>
      <c r="C92" s="8"/>
      <c r="D92" s="45"/>
      <c r="E92" s="45"/>
      <c r="F92" s="49" t="s">
        <v>11</v>
      </c>
      <c r="G92" s="83">
        <v>15000</v>
      </c>
      <c r="H92" s="83">
        <f>1440+3462+6137+3961</f>
        <v>15000</v>
      </c>
      <c r="I92" s="83">
        <f t="shared" si="53"/>
        <v>15000</v>
      </c>
      <c r="J92" s="75">
        <f t="shared" si="49"/>
        <v>15000</v>
      </c>
      <c r="K92" s="35">
        <f>'1.07. '!M92</f>
        <v>15000</v>
      </c>
      <c r="L92" s="35"/>
      <c r="M92" s="93">
        <f t="shared" si="50"/>
        <v>15000</v>
      </c>
      <c r="N92" s="35">
        <f t="shared" si="51"/>
        <v>0</v>
      </c>
      <c r="O92" s="70">
        <f t="shared" si="52"/>
        <v>100</v>
      </c>
      <c r="P92" s="71">
        <f t="shared" si="41"/>
        <v>0</v>
      </c>
      <c r="Q92" s="35">
        <f t="shared" si="42"/>
        <v>0</v>
      </c>
      <c r="R92" s="72">
        <v>1103662</v>
      </c>
      <c r="S92" s="72">
        <f t="shared" si="43"/>
        <v>0</v>
      </c>
      <c r="T92" s="62"/>
    </row>
    <row r="93" spans="1:20" s="73" customFormat="1">
      <c r="A93" s="8"/>
      <c r="B93" s="8"/>
      <c r="C93" s="8"/>
      <c r="D93" s="45"/>
      <c r="E93" s="45"/>
      <c r="F93" s="51" t="s">
        <v>65</v>
      </c>
      <c r="G93" s="82">
        <f>SUM(G94:G101)</f>
        <v>130000</v>
      </c>
      <c r="H93" s="82">
        <f t="shared" ref="H93:O93" si="54">SUM(H94:H101)</f>
        <v>57229</v>
      </c>
      <c r="I93" s="82">
        <f t="shared" si="54"/>
        <v>57229</v>
      </c>
      <c r="J93" s="108">
        <f t="shared" si="54"/>
        <v>57229</v>
      </c>
      <c r="K93" s="108">
        <f t="shared" si="54"/>
        <v>45248</v>
      </c>
      <c r="L93" s="108">
        <f t="shared" si="54"/>
        <v>11981</v>
      </c>
      <c r="M93" s="123">
        <f t="shared" si="54"/>
        <v>57229</v>
      </c>
      <c r="N93" s="123">
        <f t="shared" si="54"/>
        <v>0</v>
      </c>
      <c r="O93" s="82" t="e">
        <f t="shared" si="54"/>
        <v>#DIV/0!</v>
      </c>
      <c r="P93" s="71">
        <f t="shared" si="41"/>
        <v>0</v>
      </c>
      <c r="Q93" s="35">
        <f t="shared" si="42"/>
        <v>0</v>
      </c>
      <c r="R93" s="72">
        <v>1103654</v>
      </c>
      <c r="S93" s="72">
        <f t="shared" si="43"/>
        <v>72771</v>
      </c>
      <c r="T93" s="62"/>
    </row>
    <row r="94" spans="1:20" s="73" customFormat="1">
      <c r="A94" s="8"/>
      <c r="B94" s="8"/>
      <c r="C94" s="8"/>
      <c r="D94" s="45"/>
      <c r="E94" s="45"/>
      <c r="F94" s="47" t="s">
        <v>46</v>
      </c>
      <c r="G94" s="48">
        <v>86229</v>
      </c>
      <c r="H94" s="83">
        <f>26324+11981+11981</f>
        <v>50286</v>
      </c>
      <c r="I94" s="83">
        <f>H94</f>
        <v>50286</v>
      </c>
      <c r="J94" s="75">
        <f t="shared" ref="J94:J101" si="55">M94</f>
        <v>50286</v>
      </c>
      <c r="K94" s="35">
        <f>'1.07. '!M94</f>
        <v>38305</v>
      </c>
      <c r="L94" s="35">
        <v>11981</v>
      </c>
      <c r="M94" s="93">
        <f t="shared" ref="M94:M101" si="56">K94+L94</f>
        <v>50286</v>
      </c>
      <c r="N94" s="35">
        <f t="shared" ref="N94:N101" si="57">I94-M94</f>
        <v>0</v>
      </c>
      <c r="O94" s="70">
        <f t="shared" ref="O94:O101" si="58">M94/I94*100</f>
        <v>100</v>
      </c>
      <c r="P94" s="71">
        <f t="shared" si="41"/>
        <v>0</v>
      </c>
      <c r="Q94" s="35">
        <f t="shared" si="42"/>
        <v>0</v>
      </c>
      <c r="R94" s="72">
        <v>1103655</v>
      </c>
      <c r="S94" s="72">
        <f t="shared" si="43"/>
        <v>35943</v>
      </c>
      <c r="T94" s="62"/>
    </row>
    <row r="95" spans="1:20" s="73" customFormat="1">
      <c r="A95" s="8"/>
      <c r="B95" s="8"/>
      <c r="C95" s="8"/>
      <c r="D95" s="45"/>
      <c r="E95" s="45"/>
      <c r="F95" s="47" t="s">
        <v>8</v>
      </c>
      <c r="G95" s="48">
        <v>4898</v>
      </c>
      <c r="H95" s="83">
        <f>616+4282</f>
        <v>4898</v>
      </c>
      <c r="I95" s="83">
        <f t="shared" ref="I95:I101" si="59">H95</f>
        <v>4898</v>
      </c>
      <c r="J95" s="75">
        <f t="shared" si="55"/>
        <v>4898</v>
      </c>
      <c r="K95" s="35">
        <f>'1.07. '!M95</f>
        <v>4898</v>
      </c>
      <c r="L95" s="35"/>
      <c r="M95" s="93">
        <f t="shared" si="56"/>
        <v>4898</v>
      </c>
      <c r="N95" s="35">
        <f t="shared" si="57"/>
        <v>0</v>
      </c>
      <c r="O95" s="70">
        <f t="shared" si="58"/>
        <v>100</v>
      </c>
      <c r="P95" s="71">
        <f t="shared" si="41"/>
        <v>0</v>
      </c>
      <c r="Q95" s="35">
        <f t="shared" si="42"/>
        <v>0</v>
      </c>
      <c r="R95" s="72">
        <v>1103656</v>
      </c>
      <c r="S95" s="72">
        <f t="shared" si="43"/>
        <v>0</v>
      </c>
      <c r="T95" s="62"/>
    </row>
    <row r="96" spans="1:20" s="73" customFormat="1">
      <c r="A96" s="8"/>
      <c r="B96" s="8"/>
      <c r="C96" s="8"/>
      <c r="D96" s="45"/>
      <c r="E96" s="45"/>
      <c r="F96" s="49" t="s">
        <v>9</v>
      </c>
      <c r="G96" s="48">
        <v>3290</v>
      </c>
      <c r="H96" s="83"/>
      <c r="I96" s="83">
        <f t="shared" si="59"/>
        <v>0</v>
      </c>
      <c r="J96" s="75">
        <f t="shared" si="55"/>
        <v>0</v>
      </c>
      <c r="K96" s="35">
        <f>'1.07. '!M96</f>
        <v>0</v>
      </c>
      <c r="L96" s="35"/>
      <c r="M96" s="93">
        <f t="shared" si="56"/>
        <v>0</v>
      </c>
      <c r="N96" s="35">
        <f t="shared" si="57"/>
        <v>0</v>
      </c>
      <c r="O96" s="70" t="e">
        <f t="shared" si="58"/>
        <v>#DIV/0!</v>
      </c>
      <c r="P96" s="71">
        <f t="shared" si="41"/>
        <v>0</v>
      </c>
      <c r="Q96" s="35">
        <f t="shared" si="42"/>
        <v>0</v>
      </c>
      <c r="R96" s="72">
        <v>1103657</v>
      </c>
      <c r="S96" s="72">
        <f t="shared" si="43"/>
        <v>3290</v>
      </c>
      <c r="T96" s="62"/>
    </row>
    <row r="97" spans="1:20" s="73" customFormat="1">
      <c r="A97" s="8"/>
      <c r="B97" s="8"/>
      <c r="C97" s="8"/>
      <c r="D97" s="45"/>
      <c r="E97" s="45"/>
      <c r="F97" s="49" t="s">
        <v>10</v>
      </c>
      <c r="G97" s="48">
        <v>3918</v>
      </c>
      <c r="H97" s="83"/>
      <c r="I97" s="83">
        <f t="shared" si="59"/>
        <v>0</v>
      </c>
      <c r="J97" s="75">
        <f t="shared" si="55"/>
        <v>0</v>
      </c>
      <c r="K97" s="35">
        <f>'1.07. '!M97</f>
        <v>0</v>
      </c>
      <c r="L97" s="35"/>
      <c r="M97" s="93">
        <f t="shared" si="56"/>
        <v>0</v>
      </c>
      <c r="N97" s="35">
        <f t="shared" si="57"/>
        <v>0</v>
      </c>
      <c r="O97" s="70" t="e">
        <f t="shared" si="58"/>
        <v>#DIV/0!</v>
      </c>
      <c r="P97" s="71">
        <f t="shared" si="41"/>
        <v>0</v>
      </c>
      <c r="Q97" s="35">
        <f t="shared" si="42"/>
        <v>0</v>
      </c>
      <c r="R97" s="72">
        <v>1103658</v>
      </c>
      <c r="S97" s="72">
        <f t="shared" si="43"/>
        <v>3918</v>
      </c>
      <c r="T97" s="62"/>
    </row>
    <row r="98" spans="1:20" s="73" customFormat="1">
      <c r="A98" s="8"/>
      <c r="B98" s="8"/>
      <c r="C98" s="8"/>
      <c r="D98" s="45"/>
      <c r="E98" s="45"/>
      <c r="F98" s="49" t="s">
        <v>47</v>
      </c>
      <c r="G98" s="48">
        <v>4017</v>
      </c>
      <c r="H98" s="83">
        <f>2000-1455</f>
        <v>545</v>
      </c>
      <c r="I98" s="83">
        <f>H98</f>
        <v>545</v>
      </c>
      <c r="J98" s="75">
        <f t="shared" si="55"/>
        <v>545</v>
      </c>
      <c r="K98" s="35">
        <f>'1.07. '!M98</f>
        <v>545</v>
      </c>
      <c r="L98" s="35"/>
      <c r="M98" s="93">
        <f t="shared" si="56"/>
        <v>545</v>
      </c>
      <c r="N98" s="35">
        <f t="shared" si="57"/>
        <v>0</v>
      </c>
      <c r="O98" s="70">
        <f t="shared" si="58"/>
        <v>100</v>
      </c>
      <c r="P98" s="71">
        <f t="shared" si="41"/>
        <v>0</v>
      </c>
      <c r="Q98" s="35">
        <f t="shared" si="42"/>
        <v>0</v>
      </c>
      <c r="R98" s="72">
        <v>1103659</v>
      </c>
      <c r="S98" s="72">
        <f t="shared" si="43"/>
        <v>3472</v>
      </c>
      <c r="T98" s="62"/>
    </row>
    <row r="99" spans="1:20" s="73" customFormat="1">
      <c r="A99" s="8"/>
      <c r="B99" s="8"/>
      <c r="C99" s="8"/>
      <c r="D99" s="45"/>
      <c r="E99" s="45"/>
      <c r="F99" s="49" t="s">
        <v>48</v>
      </c>
      <c r="G99" s="48">
        <v>12606</v>
      </c>
      <c r="H99" s="83"/>
      <c r="I99" s="83">
        <f t="shared" si="59"/>
        <v>0</v>
      </c>
      <c r="J99" s="75">
        <f t="shared" si="55"/>
        <v>0</v>
      </c>
      <c r="K99" s="35">
        <f>'1.07. '!M99</f>
        <v>0</v>
      </c>
      <c r="L99" s="35"/>
      <c r="M99" s="93">
        <f t="shared" si="56"/>
        <v>0</v>
      </c>
      <c r="N99" s="35">
        <f t="shared" si="57"/>
        <v>0</v>
      </c>
      <c r="O99" s="70" t="e">
        <f t="shared" si="58"/>
        <v>#DIV/0!</v>
      </c>
      <c r="P99" s="71">
        <f t="shared" si="41"/>
        <v>0</v>
      </c>
      <c r="Q99" s="35">
        <f t="shared" si="42"/>
        <v>0</v>
      </c>
      <c r="R99" s="72">
        <v>1103660</v>
      </c>
      <c r="S99" s="72">
        <f t="shared" si="43"/>
        <v>12606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12</v>
      </c>
      <c r="G100" s="48">
        <v>9417</v>
      </c>
      <c r="H100" s="83">
        <f>1000+500</f>
        <v>1500</v>
      </c>
      <c r="I100" s="83">
        <f t="shared" si="59"/>
        <v>1500</v>
      </c>
      <c r="J100" s="75">
        <f t="shared" si="55"/>
        <v>1500</v>
      </c>
      <c r="K100" s="35">
        <f>'1.07. '!M100</f>
        <v>1500</v>
      </c>
      <c r="L100" s="35"/>
      <c r="M100" s="93">
        <f t="shared" si="56"/>
        <v>1500</v>
      </c>
      <c r="N100" s="35">
        <f t="shared" si="57"/>
        <v>0</v>
      </c>
      <c r="O100" s="70">
        <f t="shared" si="58"/>
        <v>100</v>
      </c>
      <c r="P100" s="71">
        <f t="shared" si="41"/>
        <v>0</v>
      </c>
      <c r="Q100" s="35">
        <f t="shared" si="42"/>
        <v>0</v>
      </c>
      <c r="R100" s="72">
        <v>1103661</v>
      </c>
      <c r="S100" s="72">
        <f t="shared" si="43"/>
        <v>7917</v>
      </c>
      <c r="T100" s="62"/>
    </row>
    <row r="101" spans="1:20" s="73" customFormat="1">
      <c r="A101" s="8"/>
      <c r="B101" s="8"/>
      <c r="C101" s="8"/>
      <c r="D101" s="45"/>
      <c r="E101" s="45"/>
      <c r="F101" s="49" t="s">
        <v>11</v>
      </c>
      <c r="G101" s="48">
        <v>5625</v>
      </c>
      <c r="H101" s="83"/>
      <c r="I101" s="83">
        <f t="shared" si="59"/>
        <v>0</v>
      </c>
      <c r="J101" s="75">
        <f t="shared" si="55"/>
        <v>0</v>
      </c>
      <c r="K101" s="35">
        <f>'1.07. '!M101</f>
        <v>0</v>
      </c>
      <c r="L101" s="35"/>
      <c r="M101" s="93">
        <f t="shared" si="56"/>
        <v>0</v>
      </c>
      <c r="N101" s="35">
        <f t="shared" si="57"/>
        <v>0</v>
      </c>
      <c r="O101" s="70" t="e">
        <f t="shared" si="58"/>
        <v>#DIV/0!</v>
      </c>
      <c r="P101" s="71">
        <f t="shared" si="41"/>
        <v>0</v>
      </c>
      <c r="Q101" s="35">
        <f t="shared" si="42"/>
        <v>0</v>
      </c>
      <c r="R101" s="72">
        <v>1103662</v>
      </c>
      <c r="S101" s="72">
        <f t="shared" si="43"/>
        <v>5625</v>
      </c>
      <c r="T101" s="62"/>
    </row>
    <row r="102" spans="1:20" s="73" customFormat="1">
      <c r="A102" s="8"/>
      <c r="B102" s="8"/>
      <c r="C102" s="8"/>
      <c r="D102" s="45"/>
      <c r="E102" s="45"/>
      <c r="F102" s="51" t="s">
        <v>67</v>
      </c>
      <c r="G102" s="82">
        <f>SUM(G103:G110)</f>
        <v>19000</v>
      </c>
      <c r="H102" s="82">
        <f t="shared" ref="H102:O102" si="60">SUM(H103:H110)</f>
        <v>0</v>
      </c>
      <c r="I102" s="82">
        <f t="shared" si="60"/>
        <v>0</v>
      </c>
      <c r="J102" s="108">
        <f t="shared" si="60"/>
        <v>0</v>
      </c>
      <c r="K102" s="108">
        <f t="shared" si="60"/>
        <v>0</v>
      </c>
      <c r="L102" s="108">
        <f t="shared" si="60"/>
        <v>0</v>
      </c>
      <c r="M102" s="123">
        <f t="shared" si="60"/>
        <v>0</v>
      </c>
      <c r="N102" s="123">
        <f t="shared" si="60"/>
        <v>0</v>
      </c>
      <c r="O102" s="82" t="e">
        <f t="shared" si="60"/>
        <v>#DIV/0!</v>
      </c>
      <c r="P102" s="71">
        <f t="shared" ref="P102:P110" si="61">J102-M102</f>
        <v>0</v>
      </c>
      <c r="Q102" s="35">
        <f t="shared" ref="Q102:Q110" si="62">H102-J102</f>
        <v>0</v>
      </c>
      <c r="R102" s="72">
        <v>1103654</v>
      </c>
      <c r="S102" s="72">
        <f t="shared" ref="S102:S110" si="63">G102-M102</f>
        <v>19000</v>
      </c>
      <c r="T102" s="62"/>
    </row>
    <row r="103" spans="1:20" s="73" customFormat="1">
      <c r="A103" s="8"/>
      <c r="B103" s="8"/>
      <c r="C103" s="8"/>
      <c r="D103" s="45"/>
      <c r="E103" s="45"/>
      <c r="F103" s="47" t="s">
        <v>46</v>
      </c>
      <c r="G103" s="48"/>
      <c r="H103" s="83"/>
      <c r="I103" s="83"/>
      <c r="J103" s="75"/>
      <c r="K103" s="35"/>
      <c r="L103" s="35"/>
      <c r="M103" s="93">
        <f t="shared" ref="M103:M110" si="64">K103+L103</f>
        <v>0</v>
      </c>
      <c r="N103" s="35">
        <f t="shared" ref="N103:N110" si="65">I103-M103</f>
        <v>0</v>
      </c>
      <c r="O103" s="70" t="e">
        <f t="shared" ref="O103:O110" si="66">M103/I103*100</f>
        <v>#DIV/0!</v>
      </c>
      <c r="P103" s="71">
        <f t="shared" si="61"/>
        <v>0</v>
      </c>
      <c r="Q103" s="35">
        <f t="shared" si="62"/>
        <v>0</v>
      </c>
      <c r="R103" s="72">
        <v>1103655</v>
      </c>
      <c r="S103" s="72">
        <f t="shared" si="63"/>
        <v>0</v>
      </c>
      <c r="T103" s="62"/>
    </row>
    <row r="104" spans="1:20" s="73" customFormat="1">
      <c r="A104" s="8"/>
      <c r="B104" s="8"/>
      <c r="C104" s="8"/>
      <c r="D104" s="45"/>
      <c r="E104" s="45"/>
      <c r="F104" s="47" t="s">
        <v>8</v>
      </c>
      <c r="G104" s="48"/>
      <c r="H104" s="83"/>
      <c r="I104" s="83"/>
      <c r="J104" s="75"/>
      <c r="K104" s="35"/>
      <c r="L104" s="35"/>
      <c r="M104" s="93">
        <f t="shared" si="64"/>
        <v>0</v>
      </c>
      <c r="N104" s="35">
        <f t="shared" si="65"/>
        <v>0</v>
      </c>
      <c r="O104" s="70" t="e">
        <f t="shared" si="66"/>
        <v>#DIV/0!</v>
      </c>
      <c r="P104" s="71">
        <f t="shared" si="61"/>
        <v>0</v>
      </c>
      <c r="Q104" s="35">
        <f t="shared" si="62"/>
        <v>0</v>
      </c>
      <c r="R104" s="72">
        <v>1103656</v>
      </c>
      <c r="S104" s="72">
        <f t="shared" si="63"/>
        <v>0</v>
      </c>
      <c r="T104" s="62"/>
    </row>
    <row r="105" spans="1:20" s="73" customFormat="1">
      <c r="A105" s="8"/>
      <c r="B105" s="8"/>
      <c r="C105" s="8"/>
      <c r="D105" s="45"/>
      <c r="E105" s="45"/>
      <c r="F105" s="49" t="s">
        <v>9</v>
      </c>
      <c r="G105" s="48">
        <v>19000</v>
      </c>
      <c r="H105" s="83"/>
      <c r="I105" s="83"/>
      <c r="J105" s="75"/>
      <c r="K105" s="35"/>
      <c r="L105" s="35"/>
      <c r="M105" s="93">
        <f t="shared" si="64"/>
        <v>0</v>
      </c>
      <c r="N105" s="35">
        <f t="shared" si="65"/>
        <v>0</v>
      </c>
      <c r="O105" s="70" t="e">
        <f t="shared" si="66"/>
        <v>#DIV/0!</v>
      </c>
      <c r="P105" s="71">
        <f t="shared" si="61"/>
        <v>0</v>
      </c>
      <c r="Q105" s="35">
        <f t="shared" si="62"/>
        <v>0</v>
      </c>
      <c r="R105" s="72">
        <v>1103657</v>
      </c>
      <c r="S105" s="72">
        <f t="shared" si="63"/>
        <v>19000</v>
      </c>
      <c r="T105" s="62"/>
    </row>
    <row r="106" spans="1:20" s="73" customFormat="1">
      <c r="A106" s="8"/>
      <c r="B106" s="8"/>
      <c r="C106" s="8"/>
      <c r="D106" s="45"/>
      <c r="E106" s="45"/>
      <c r="F106" s="49" t="s">
        <v>10</v>
      </c>
      <c r="G106" s="48"/>
      <c r="H106" s="83"/>
      <c r="I106" s="83"/>
      <c r="J106" s="75"/>
      <c r="K106" s="35"/>
      <c r="L106" s="35"/>
      <c r="M106" s="93">
        <f t="shared" si="64"/>
        <v>0</v>
      </c>
      <c r="N106" s="35">
        <f t="shared" si="65"/>
        <v>0</v>
      </c>
      <c r="O106" s="70" t="e">
        <f t="shared" si="66"/>
        <v>#DIV/0!</v>
      </c>
      <c r="P106" s="71">
        <f t="shared" si="61"/>
        <v>0</v>
      </c>
      <c r="Q106" s="35">
        <f t="shared" si="62"/>
        <v>0</v>
      </c>
      <c r="R106" s="72">
        <v>1103658</v>
      </c>
      <c r="S106" s="72">
        <f t="shared" si="63"/>
        <v>0</v>
      </c>
      <c r="T106" s="62"/>
    </row>
    <row r="107" spans="1:20" s="73" customFormat="1">
      <c r="A107" s="8"/>
      <c r="B107" s="8"/>
      <c r="C107" s="8"/>
      <c r="D107" s="45"/>
      <c r="E107" s="45"/>
      <c r="F107" s="49" t="s">
        <v>47</v>
      </c>
      <c r="G107" s="48"/>
      <c r="H107" s="83"/>
      <c r="I107" s="83"/>
      <c r="J107" s="75"/>
      <c r="K107" s="35"/>
      <c r="L107" s="35"/>
      <c r="M107" s="93">
        <f t="shared" si="64"/>
        <v>0</v>
      </c>
      <c r="N107" s="35">
        <f t="shared" si="65"/>
        <v>0</v>
      </c>
      <c r="O107" s="70" t="e">
        <f t="shared" si="66"/>
        <v>#DIV/0!</v>
      </c>
      <c r="P107" s="71">
        <f t="shared" si="61"/>
        <v>0</v>
      </c>
      <c r="Q107" s="35">
        <f t="shared" si="62"/>
        <v>0</v>
      </c>
      <c r="R107" s="72">
        <v>1103659</v>
      </c>
      <c r="S107" s="72">
        <f t="shared" si="63"/>
        <v>0</v>
      </c>
      <c r="T107" s="62"/>
    </row>
    <row r="108" spans="1:20" s="73" customFormat="1">
      <c r="A108" s="8"/>
      <c r="B108" s="8"/>
      <c r="C108" s="8"/>
      <c r="D108" s="45"/>
      <c r="E108" s="45"/>
      <c r="F108" s="49" t="s">
        <v>48</v>
      </c>
      <c r="G108" s="48"/>
      <c r="H108" s="83"/>
      <c r="I108" s="83"/>
      <c r="J108" s="75"/>
      <c r="K108" s="35"/>
      <c r="L108" s="35"/>
      <c r="M108" s="93">
        <f t="shared" si="64"/>
        <v>0</v>
      </c>
      <c r="N108" s="35">
        <f t="shared" si="65"/>
        <v>0</v>
      </c>
      <c r="O108" s="70" t="e">
        <f t="shared" si="66"/>
        <v>#DIV/0!</v>
      </c>
      <c r="P108" s="71">
        <f t="shared" si="61"/>
        <v>0</v>
      </c>
      <c r="Q108" s="35">
        <f t="shared" si="62"/>
        <v>0</v>
      </c>
      <c r="R108" s="72">
        <v>1103660</v>
      </c>
      <c r="S108" s="72">
        <f t="shared" si="63"/>
        <v>0</v>
      </c>
      <c r="T108" s="62"/>
    </row>
    <row r="109" spans="1:20" s="73" customFormat="1">
      <c r="A109" s="8"/>
      <c r="B109" s="8"/>
      <c r="C109" s="8"/>
      <c r="D109" s="45"/>
      <c r="E109" s="45"/>
      <c r="F109" s="49" t="s">
        <v>12</v>
      </c>
      <c r="G109" s="48"/>
      <c r="H109" s="83"/>
      <c r="I109" s="83"/>
      <c r="J109" s="75"/>
      <c r="K109" s="35"/>
      <c r="L109" s="35"/>
      <c r="M109" s="93">
        <f t="shared" si="64"/>
        <v>0</v>
      </c>
      <c r="N109" s="35">
        <f t="shared" si="65"/>
        <v>0</v>
      </c>
      <c r="O109" s="70" t="e">
        <f t="shared" si="66"/>
        <v>#DIV/0!</v>
      </c>
      <c r="P109" s="71">
        <f t="shared" si="61"/>
        <v>0</v>
      </c>
      <c r="Q109" s="35">
        <f t="shared" si="62"/>
        <v>0</v>
      </c>
      <c r="R109" s="72">
        <v>1103661</v>
      </c>
      <c r="S109" s="72">
        <f t="shared" si="63"/>
        <v>0</v>
      </c>
      <c r="T109" s="62"/>
    </row>
    <row r="110" spans="1:20" s="73" customFormat="1">
      <c r="A110" s="8"/>
      <c r="B110" s="8"/>
      <c r="C110" s="8"/>
      <c r="D110" s="45"/>
      <c r="E110" s="45"/>
      <c r="F110" s="49" t="s">
        <v>11</v>
      </c>
      <c r="G110" s="48"/>
      <c r="H110" s="83"/>
      <c r="I110" s="83"/>
      <c r="J110" s="75"/>
      <c r="K110" s="35"/>
      <c r="L110" s="35"/>
      <c r="M110" s="93">
        <f t="shared" si="64"/>
        <v>0</v>
      </c>
      <c r="N110" s="35">
        <f t="shared" si="65"/>
        <v>0</v>
      </c>
      <c r="O110" s="70" t="e">
        <f t="shared" si="66"/>
        <v>#DIV/0!</v>
      </c>
      <c r="P110" s="71">
        <f t="shared" si="61"/>
        <v>0</v>
      </c>
      <c r="Q110" s="35">
        <f t="shared" si="62"/>
        <v>0</v>
      </c>
      <c r="R110" s="72">
        <v>1103662</v>
      </c>
      <c r="S110" s="72">
        <f t="shared" si="63"/>
        <v>0</v>
      </c>
      <c r="T110" s="62"/>
    </row>
    <row r="111" spans="1:20" s="73" customFormat="1" ht="25.5">
      <c r="A111" s="9"/>
      <c r="B111" s="9"/>
      <c r="C111" s="8" t="s">
        <v>13</v>
      </c>
      <c r="D111" s="69"/>
      <c r="E111" s="69"/>
      <c r="F111" s="120" t="s">
        <v>113</v>
      </c>
      <c r="G111" s="23">
        <f>G112</f>
        <v>200616</v>
      </c>
      <c r="H111" s="23">
        <f t="shared" ref="H111:M111" si="67">H112</f>
        <v>107835</v>
      </c>
      <c r="I111" s="23">
        <f t="shared" si="67"/>
        <v>107835</v>
      </c>
      <c r="J111" s="109">
        <f t="shared" si="67"/>
        <v>107835</v>
      </c>
      <c r="K111" s="35">
        <f>'1.02.'!M92</f>
        <v>0</v>
      </c>
      <c r="L111" s="85">
        <f t="shared" si="67"/>
        <v>0</v>
      </c>
      <c r="M111" s="102">
        <f t="shared" si="67"/>
        <v>107835</v>
      </c>
      <c r="N111" s="102">
        <f>N112</f>
        <v>0</v>
      </c>
      <c r="O111" s="68">
        <f t="shared" si="52"/>
        <v>100</v>
      </c>
      <c r="P111" s="71">
        <f t="shared" si="41"/>
        <v>0</v>
      </c>
      <c r="Q111" s="35">
        <f t="shared" si="42"/>
        <v>0</v>
      </c>
      <c r="R111" s="72">
        <v>1103663</v>
      </c>
      <c r="S111" s="72">
        <f t="shared" si="43"/>
        <v>92781</v>
      </c>
      <c r="T111" s="62">
        <f t="shared" ref="T111:T158" si="68">G111-J111</f>
        <v>92781</v>
      </c>
    </row>
    <row r="112" spans="1:20">
      <c r="A112" s="9"/>
      <c r="B112" s="9"/>
      <c r="C112" s="9"/>
      <c r="D112" s="21" t="s">
        <v>7</v>
      </c>
      <c r="E112" s="69"/>
      <c r="F112" s="122" t="s">
        <v>85</v>
      </c>
      <c r="G112" s="56">
        <f>G113+G114</f>
        <v>200616</v>
      </c>
      <c r="H112" s="56">
        <f t="shared" ref="H112:N112" si="69">H113+H114</f>
        <v>107835</v>
      </c>
      <c r="I112" s="56">
        <f t="shared" si="69"/>
        <v>107835</v>
      </c>
      <c r="J112" s="56">
        <f t="shared" si="69"/>
        <v>107835</v>
      </c>
      <c r="K112" s="56">
        <f t="shared" si="69"/>
        <v>107835</v>
      </c>
      <c r="L112" s="56">
        <f t="shared" si="69"/>
        <v>0</v>
      </c>
      <c r="M112" s="56">
        <f t="shared" si="69"/>
        <v>107835</v>
      </c>
      <c r="N112" s="56">
        <f t="shared" si="69"/>
        <v>0</v>
      </c>
      <c r="O112" s="70">
        <f t="shared" si="52"/>
        <v>100</v>
      </c>
      <c r="P112" s="71">
        <f t="shared" si="41"/>
        <v>0</v>
      </c>
      <c r="Q112" s="35">
        <f t="shared" si="42"/>
        <v>0</v>
      </c>
      <c r="R112" s="72">
        <v>1103664</v>
      </c>
      <c r="S112" s="72">
        <f t="shared" si="43"/>
        <v>92781</v>
      </c>
      <c r="T112" s="62">
        <f t="shared" si="68"/>
        <v>92781</v>
      </c>
    </row>
    <row r="113" spans="1:20">
      <c r="A113" s="9"/>
      <c r="B113" s="9"/>
      <c r="C113" s="9"/>
      <c r="D113" s="69"/>
      <c r="E113" s="69">
        <v>159</v>
      </c>
      <c r="F113" s="122" t="s">
        <v>84</v>
      </c>
      <c r="G113" s="26">
        <v>200616</v>
      </c>
      <c r="H113" s="37">
        <v>107835</v>
      </c>
      <c r="I113" s="37">
        <v>107835</v>
      </c>
      <c r="J113" s="110">
        <v>107835</v>
      </c>
      <c r="K113" s="35">
        <f>'1.07. '!M104</f>
        <v>107835</v>
      </c>
      <c r="L113" s="80"/>
      <c r="M113" s="93">
        <f>K113+L113</f>
        <v>107835</v>
      </c>
      <c r="N113" s="93">
        <f>I113-M113</f>
        <v>0</v>
      </c>
      <c r="O113" s="70">
        <f t="shared" si="52"/>
        <v>100</v>
      </c>
      <c r="P113" s="71">
        <f t="shared" si="41"/>
        <v>0</v>
      </c>
      <c r="Q113" s="35">
        <f t="shared" si="42"/>
        <v>0</v>
      </c>
      <c r="R113" s="72">
        <v>1103665</v>
      </c>
      <c r="S113" s="72">
        <f t="shared" si="43"/>
        <v>92781</v>
      </c>
      <c r="T113" s="62">
        <f t="shared" si="68"/>
        <v>92781</v>
      </c>
    </row>
    <row r="114" spans="1:20" hidden="1">
      <c r="A114" s="9"/>
      <c r="B114" s="9"/>
      <c r="C114" s="9"/>
      <c r="D114" s="69"/>
      <c r="E114" s="69">
        <v>322</v>
      </c>
      <c r="F114" s="78" t="s">
        <v>154</v>
      </c>
      <c r="G114" s="26"/>
      <c r="H114" s="37"/>
      <c r="I114" s="37"/>
      <c r="J114" s="110">
        <f>M114</f>
        <v>0</v>
      </c>
      <c r="K114" s="35">
        <f>'1.07. '!M105</f>
        <v>0</v>
      </c>
      <c r="L114" s="110"/>
      <c r="M114" s="93">
        <f>K114+L114</f>
        <v>0</v>
      </c>
      <c r="N114" s="93">
        <f>I114-M114</f>
        <v>0</v>
      </c>
      <c r="O114" s="70" t="e">
        <f t="shared" si="52"/>
        <v>#DIV/0!</v>
      </c>
      <c r="P114" s="71">
        <f t="shared" si="41"/>
        <v>0</v>
      </c>
      <c r="Q114" s="35">
        <f t="shared" si="42"/>
        <v>0</v>
      </c>
      <c r="R114" s="72">
        <v>1103666</v>
      </c>
      <c r="S114" s="72">
        <f t="shared" si="43"/>
        <v>0</v>
      </c>
    </row>
    <row r="115" spans="1:20" ht="38.25">
      <c r="A115" s="9"/>
      <c r="B115" s="9"/>
      <c r="C115" s="17" t="s">
        <v>41</v>
      </c>
      <c r="D115" s="69"/>
      <c r="E115" s="69"/>
      <c r="F115" s="79" t="s">
        <v>128</v>
      </c>
      <c r="G115" s="74">
        <f>G116</f>
        <v>20000</v>
      </c>
      <c r="H115" s="74">
        <f t="shared" ref="H115:O116" si="70">H116</f>
        <v>13390</v>
      </c>
      <c r="I115" s="74">
        <f t="shared" si="70"/>
        <v>6484.7</v>
      </c>
      <c r="J115" s="96">
        <f t="shared" si="70"/>
        <v>13390</v>
      </c>
      <c r="K115" s="35">
        <f>'1.02.'!M96</f>
        <v>0</v>
      </c>
      <c r="L115" s="89">
        <f t="shared" si="70"/>
        <v>988.01062000000002</v>
      </c>
      <c r="M115" s="89">
        <f t="shared" si="70"/>
        <v>6484.7</v>
      </c>
      <c r="N115" s="89">
        <f t="shared" si="70"/>
        <v>0</v>
      </c>
      <c r="O115" s="74">
        <f t="shared" si="70"/>
        <v>100</v>
      </c>
      <c r="P115" s="71">
        <f t="shared" si="41"/>
        <v>6905.3</v>
      </c>
      <c r="Q115" s="35">
        <f t="shared" si="42"/>
        <v>0</v>
      </c>
      <c r="R115" s="72">
        <v>1103667</v>
      </c>
      <c r="S115" s="72">
        <f t="shared" si="43"/>
        <v>13515.3</v>
      </c>
      <c r="T115" s="62">
        <f>G115-J115</f>
        <v>6610</v>
      </c>
    </row>
    <row r="116" spans="1:20" s="73" customFormat="1">
      <c r="A116" s="8"/>
      <c r="B116" s="8"/>
      <c r="C116" s="8"/>
      <c r="D116" s="17" t="s">
        <v>35</v>
      </c>
      <c r="E116" s="21"/>
      <c r="F116" s="79"/>
      <c r="G116" s="88">
        <f>G117</f>
        <v>20000</v>
      </c>
      <c r="H116" s="74">
        <f t="shared" si="70"/>
        <v>13390</v>
      </c>
      <c r="I116" s="74">
        <f t="shared" si="70"/>
        <v>6484.7</v>
      </c>
      <c r="J116" s="96">
        <f t="shared" si="70"/>
        <v>13390</v>
      </c>
      <c r="K116" s="35">
        <f>'1.02.'!M97</f>
        <v>0</v>
      </c>
      <c r="L116" s="89">
        <f t="shared" si="70"/>
        <v>988.01062000000002</v>
      </c>
      <c r="M116" s="89">
        <f t="shared" si="70"/>
        <v>6484.7</v>
      </c>
      <c r="N116" s="89">
        <f t="shared" si="70"/>
        <v>0</v>
      </c>
      <c r="O116" s="68">
        <f>M116/I116*100</f>
        <v>100</v>
      </c>
      <c r="P116" s="71">
        <f t="shared" si="41"/>
        <v>6905.3</v>
      </c>
      <c r="Q116" s="35">
        <f t="shared" si="42"/>
        <v>0</v>
      </c>
      <c r="R116" s="72">
        <v>1103668</v>
      </c>
      <c r="S116" s="72">
        <f t="shared" si="43"/>
        <v>13515.3</v>
      </c>
      <c r="T116" s="62">
        <f>G116-J116</f>
        <v>6610</v>
      </c>
    </row>
    <row r="117" spans="1:20">
      <c r="A117" s="9"/>
      <c r="B117" s="9"/>
      <c r="C117" s="9"/>
      <c r="D117" s="69"/>
      <c r="E117" s="69">
        <v>159</v>
      </c>
      <c r="F117" s="78" t="s">
        <v>155</v>
      </c>
      <c r="G117" s="41">
        <v>20000</v>
      </c>
      <c r="H117" s="72">
        <v>13390</v>
      </c>
      <c r="I117" s="72">
        <v>6484.7</v>
      </c>
      <c r="J117" s="94">
        <v>13390</v>
      </c>
      <c r="K117" s="35">
        <f>'1.07. '!M108</f>
        <v>5496.6893799999998</v>
      </c>
      <c r="L117" s="90">
        <v>988.01062000000002</v>
      </c>
      <c r="M117" s="90">
        <f>K117+L117</f>
        <v>6484.7</v>
      </c>
      <c r="N117" s="90">
        <f>I117-M117</f>
        <v>0</v>
      </c>
      <c r="O117" s="70">
        <f>M117/I117*100</f>
        <v>100</v>
      </c>
      <c r="P117" s="71">
        <f t="shared" si="41"/>
        <v>6905.3</v>
      </c>
      <c r="Q117" s="35">
        <f t="shared" si="42"/>
        <v>0</v>
      </c>
      <c r="R117" s="72">
        <v>1103669</v>
      </c>
      <c r="S117" s="72">
        <f t="shared" si="43"/>
        <v>13515.3</v>
      </c>
      <c r="T117" s="62">
        <f>G117-J117</f>
        <v>6610</v>
      </c>
    </row>
    <row r="118" spans="1:20" s="73" customFormat="1">
      <c r="A118" s="8"/>
      <c r="B118" s="8" t="s">
        <v>24</v>
      </c>
      <c r="C118" s="8"/>
      <c r="D118" s="21"/>
      <c r="E118" s="21"/>
      <c r="F118" s="139" t="s">
        <v>114</v>
      </c>
      <c r="G118" s="59">
        <f t="shared" ref="G118:N119" si="71">G119</f>
        <v>656346</v>
      </c>
      <c r="H118" s="59">
        <f t="shared" si="71"/>
        <v>382985</v>
      </c>
      <c r="I118" s="59">
        <f t="shared" si="71"/>
        <v>349982</v>
      </c>
      <c r="J118" s="29">
        <f t="shared" si="71"/>
        <v>357369.67247999995</v>
      </c>
      <c r="K118" s="29">
        <f>'1.02.'!M99</f>
        <v>46251.970999999998</v>
      </c>
      <c r="L118" s="29">
        <f t="shared" si="71"/>
        <v>56787.641340000002</v>
      </c>
      <c r="M118" s="29">
        <f t="shared" si="71"/>
        <v>335889.37097999995</v>
      </c>
      <c r="N118" s="29">
        <f t="shared" si="71"/>
        <v>14092.629020000013</v>
      </c>
      <c r="O118" s="68">
        <f t="shared" si="52"/>
        <v>95.973327479698938</v>
      </c>
      <c r="P118" s="71">
        <f t="shared" si="41"/>
        <v>21480.301500000001</v>
      </c>
      <c r="Q118" s="35">
        <f t="shared" si="42"/>
        <v>25615.32752000005</v>
      </c>
      <c r="R118" s="72">
        <v>1103670</v>
      </c>
      <c r="S118" s="72">
        <f t="shared" si="43"/>
        <v>320456.62902000005</v>
      </c>
      <c r="T118" s="62">
        <f t="shared" si="68"/>
        <v>298976.32752000005</v>
      </c>
    </row>
    <row r="119" spans="1:20" ht="63.75">
      <c r="A119" s="8"/>
      <c r="B119" s="8"/>
      <c r="C119" s="17" t="s">
        <v>7</v>
      </c>
      <c r="D119" s="17"/>
      <c r="E119" s="21"/>
      <c r="F119" s="139" t="s">
        <v>115</v>
      </c>
      <c r="G119" s="59">
        <f>G120</f>
        <v>656346</v>
      </c>
      <c r="H119" s="59">
        <f t="shared" si="71"/>
        <v>382985</v>
      </c>
      <c r="I119" s="59">
        <f t="shared" si="71"/>
        <v>349982</v>
      </c>
      <c r="J119" s="29">
        <f t="shared" si="71"/>
        <v>357369.67247999995</v>
      </c>
      <c r="K119" s="29">
        <f>'1.02.'!M100</f>
        <v>46251.970999999998</v>
      </c>
      <c r="L119" s="29">
        <f t="shared" si="71"/>
        <v>56787.641340000002</v>
      </c>
      <c r="M119" s="29">
        <f t="shared" si="71"/>
        <v>335889.37097999995</v>
      </c>
      <c r="N119" s="29">
        <f t="shared" si="71"/>
        <v>14092.629020000013</v>
      </c>
      <c r="O119" s="68">
        <f t="shared" si="52"/>
        <v>95.973327479698938</v>
      </c>
      <c r="P119" s="29">
        <f t="shared" si="41"/>
        <v>21480.301500000001</v>
      </c>
      <c r="Q119" s="29">
        <f t="shared" si="42"/>
        <v>25615.32752000005</v>
      </c>
      <c r="R119" s="74">
        <v>1103671</v>
      </c>
      <c r="S119" s="74">
        <f t="shared" si="43"/>
        <v>320456.62902000005</v>
      </c>
      <c r="T119" s="62">
        <f t="shared" si="68"/>
        <v>298976.32752000005</v>
      </c>
    </row>
    <row r="120" spans="1:20">
      <c r="A120" s="8"/>
      <c r="B120" s="8"/>
      <c r="C120" s="17"/>
      <c r="D120" s="17" t="s">
        <v>7</v>
      </c>
      <c r="E120" s="10"/>
      <c r="F120" s="140" t="s">
        <v>85</v>
      </c>
      <c r="G120" s="33">
        <f>SUM(G121:G138)</f>
        <v>656346</v>
      </c>
      <c r="H120" s="33">
        <f t="shared" ref="H120:N120" si="72">SUM(H121:H138)</f>
        <v>382985</v>
      </c>
      <c r="I120" s="33">
        <f t="shared" si="72"/>
        <v>349982</v>
      </c>
      <c r="J120" s="29">
        <f t="shared" si="72"/>
        <v>357369.67247999995</v>
      </c>
      <c r="K120" s="29">
        <f t="shared" si="72"/>
        <v>279101.72964000003</v>
      </c>
      <c r="L120" s="29">
        <f t="shared" si="72"/>
        <v>56787.641340000002</v>
      </c>
      <c r="M120" s="29">
        <f t="shared" si="72"/>
        <v>335889.37097999995</v>
      </c>
      <c r="N120" s="29">
        <f t="shared" si="72"/>
        <v>14092.629020000013</v>
      </c>
      <c r="O120" s="68">
        <f t="shared" si="52"/>
        <v>95.973327479698938</v>
      </c>
      <c r="P120" s="71">
        <f t="shared" si="41"/>
        <v>21480.301500000001</v>
      </c>
      <c r="Q120" s="35">
        <f t="shared" si="42"/>
        <v>25615.32752000005</v>
      </c>
      <c r="R120" s="72">
        <v>1103672</v>
      </c>
      <c r="S120" s="72">
        <f t="shared" si="43"/>
        <v>320456.62902000005</v>
      </c>
      <c r="T120" s="62">
        <f t="shared" si="68"/>
        <v>298976.32752000005</v>
      </c>
    </row>
    <row r="121" spans="1:20">
      <c r="A121" s="8"/>
      <c r="B121" s="8"/>
      <c r="C121" s="8"/>
      <c r="D121" s="21"/>
      <c r="E121" s="69">
        <v>111</v>
      </c>
      <c r="F121" s="136" t="s">
        <v>86</v>
      </c>
      <c r="G121" s="26">
        <v>408393</v>
      </c>
      <c r="H121" s="37">
        <v>222000</v>
      </c>
      <c r="I121" s="37">
        <v>222000</v>
      </c>
      <c r="J121" s="75">
        <f>M121</f>
        <v>212251.21</v>
      </c>
      <c r="K121" s="35">
        <f>'1.07. '!M112</f>
        <v>186990.87</v>
      </c>
      <c r="L121" s="35">
        <v>25260.34</v>
      </c>
      <c r="M121" s="93">
        <f t="shared" ref="M121:M203" si="73">K121+L121</f>
        <v>212251.21</v>
      </c>
      <c r="N121" s="93">
        <f t="shared" ref="N121:N203" si="74">I121-M121</f>
        <v>9748.7900000000081</v>
      </c>
      <c r="O121" s="70">
        <f t="shared" si="52"/>
        <v>95.608653153153142</v>
      </c>
      <c r="P121" s="71">
        <f t="shared" si="41"/>
        <v>0</v>
      </c>
      <c r="Q121" s="35">
        <f t="shared" si="42"/>
        <v>9748.7900000000081</v>
      </c>
      <c r="R121" s="72">
        <v>1103673</v>
      </c>
      <c r="S121" s="72">
        <f t="shared" si="43"/>
        <v>196141.79</v>
      </c>
      <c r="T121" s="62">
        <f t="shared" si="68"/>
        <v>196141.79</v>
      </c>
    </row>
    <row r="122" spans="1:20">
      <c r="A122" s="8"/>
      <c r="B122" s="8"/>
      <c r="C122" s="8"/>
      <c r="D122" s="21"/>
      <c r="E122" s="69">
        <v>112</v>
      </c>
      <c r="F122" s="136" t="s">
        <v>87</v>
      </c>
      <c r="G122" s="26"/>
      <c r="H122" s="37"/>
      <c r="I122" s="37"/>
      <c r="J122" s="75">
        <f t="shared" ref="J122:J128" si="75">M122</f>
        <v>0</v>
      </c>
      <c r="K122" s="35">
        <f>'1.07. '!M113</f>
        <v>0</v>
      </c>
      <c r="L122" s="35"/>
      <c r="M122" s="93">
        <f t="shared" si="73"/>
        <v>0</v>
      </c>
      <c r="N122" s="93">
        <f t="shared" si="74"/>
        <v>0</v>
      </c>
      <c r="O122" s="70" t="e">
        <f t="shared" si="52"/>
        <v>#DIV/0!</v>
      </c>
      <c r="P122" s="71">
        <f t="shared" si="41"/>
        <v>0</v>
      </c>
      <c r="Q122" s="35">
        <f t="shared" si="42"/>
        <v>0</v>
      </c>
      <c r="R122" s="72">
        <v>1103674</v>
      </c>
      <c r="S122" s="72">
        <f t="shared" si="43"/>
        <v>0</v>
      </c>
    </row>
    <row r="123" spans="1:20">
      <c r="A123" s="8"/>
      <c r="B123" s="8"/>
      <c r="C123" s="8"/>
      <c r="D123" s="21"/>
      <c r="E123" s="76">
        <v>113</v>
      </c>
      <c r="F123" s="136" t="s">
        <v>88</v>
      </c>
      <c r="G123" s="26">
        <v>14739</v>
      </c>
      <c r="H123" s="37">
        <v>7561</v>
      </c>
      <c r="I123" s="37">
        <v>7561</v>
      </c>
      <c r="J123" s="75">
        <f t="shared" si="75"/>
        <v>5928.4530000000004</v>
      </c>
      <c r="K123" s="35">
        <f>'1.07. '!M114</f>
        <v>5369.0820000000003</v>
      </c>
      <c r="L123" s="35">
        <v>559.37099999999998</v>
      </c>
      <c r="M123" s="93">
        <f t="shared" si="73"/>
        <v>5928.4530000000004</v>
      </c>
      <c r="N123" s="93">
        <f t="shared" si="74"/>
        <v>1632.5469999999996</v>
      </c>
      <c r="O123" s="70">
        <f t="shared" si="52"/>
        <v>78.40831900542257</v>
      </c>
      <c r="P123" s="71">
        <f t="shared" si="41"/>
        <v>0</v>
      </c>
      <c r="Q123" s="35">
        <f t="shared" si="42"/>
        <v>1632.5469999999996</v>
      </c>
      <c r="R123" s="72">
        <v>1103675</v>
      </c>
      <c r="S123" s="72">
        <f t="shared" si="43"/>
        <v>8810.5469999999987</v>
      </c>
      <c r="T123" s="62">
        <f t="shared" si="68"/>
        <v>8810.5469999999987</v>
      </c>
    </row>
    <row r="124" spans="1:20">
      <c r="A124" s="8"/>
      <c r="B124" s="8"/>
      <c r="C124" s="8"/>
      <c r="D124" s="21"/>
      <c r="E124" s="69">
        <v>116</v>
      </c>
      <c r="F124" s="136" t="s">
        <v>89</v>
      </c>
      <c r="G124" s="26">
        <v>9468</v>
      </c>
      <c r="H124" s="37">
        <v>2255</v>
      </c>
      <c r="I124" s="37">
        <v>2255</v>
      </c>
      <c r="J124" s="75">
        <f t="shared" si="75"/>
        <v>2228.8670000000002</v>
      </c>
      <c r="K124" s="35">
        <f>'1.07. '!M115</f>
        <v>1905</v>
      </c>
      <c r="L124" s="35">
        <v>323.86700000000002</v>
      </c>
      <c r="M124" s="93">
        <f>K124+L124</f>
        <v>2228.8670000000002</v>
      </c>
      <c r="N124" s="93">
        <f>I124-M124</f>
        <v>26.132999999999811</v>
      </c>
      <c r="O124" s="70">
        <f>M124/I124*100</f>
        <v>98.841108647450113</v>
      </c>
      <c r="P124" s="71">
        <f t="shared" si="41"/>
        <v>0</v>
      </c>
      <c r="Q124" s="35">
        <f t="shared" si="42"/>
        <v>26.132999999999811</v>
      </c>
      <c r="R124" s="72">
        <v>1103676</v>
      </c>
      <c r="S124" s="72">
        <f t="shared" si="43"/>
        <v>7239.1329999999998</v>
      </c>
    </row>
    <row r="125" spans="1:20">
      <c r="A125" s="8"/>
      <c r="B125" s="8"/>
      <c r="C125" s="8"/>
      <c r="D125" s="21"/>
      <c r="E125" s="69">
        <v>121</v>
      </c>
      <c r="F125" s="136" t="s">
        <v>90</v>
      </c>
      <c r="G125" s="26">
        <v>19586</v>
      </c>
      <c r="H125" s="37">
        <v>9800</v>
      </c>
      <c r="I125" s="37">
        <v>9800</v>
      </c>
      <c r="J125" s="75">
        <f t="shared" si="75"/>
        <v>9800</v>
      </c>
      <c r="K125" s="35">
        <f>'1.07. '!M116</f>
        <v>8400</v>
      </c>
      <c r="L125" s="35">
        <v>1400</v>
      </c>
      <c r="M125" s="93">
        <f t="shared" si="73"/>
        <v>9800</v>
      </c>
      <c r="N125" s="93">
        <f t="shared" si="74"/>
        <v>0</v>
      </c>
      <c r="O125" s="70">
        <f t="shared" si="52"/>
        <v>100</v>
      </c>
      <c r="P125" s="71">
        <f t="shared" si="41"/>
        <v>0</v>
      </c>
      <c r="Q125" s="35">
        <f t="shared" si="42"/>
        <v>0</v>
      </c>
      <c r="R125" s="72">
        <v>1103677</v>
      </c>
      <c r="S125" s="72">
        <f t="shared" si="43"/>
        <v>9786</v>
      </c>
      <c r="T125" s="62">
        <f t="shared" si="68"/>
        <v>9786</v>
      </c>
    </row>
    <row r="126" spans="1:20">
      <c r="A126" s="8"/>
      <c r="B126" s="8"/>
      <c r="C126" s="8"/>
      <c r="D126" s="21"/>
      <c r="E126" s="69">
        <v>122</v>
      </c>
      <c r="F126" s="136" t="s">
        <v>91</v>
      </c>
      <c r="G126" s="26">
        <v>17015</v>
      </c>
      <c r="H126" s="37">
        <v>8540</v>
      </c>
      <c r="I126" s="37">
        <v>8540</v>
      </c>
      <c r="J126" s="75">
        <f t="shared" si="75"/>
        <v>8325.8189999999995</v>
      </c>
      <c r="K126" s="35">
        <f>'1.07. '!M117</f>
        <v>7319.9999999999991</v>
      </c>
      <c r="L126" s="35">
        <v>1005.819</v>
      </c>
      <c r="M126" s="93">
        <f>K126+L126</f>
        <v>8325.8189999999995</v>
      </c>
      <c r="N126" s="93">
        <f t="shared" si="74"/>
        <v>214.18100000000049</v>
      </c>
      <c r="O126" s="70">
        <f t="shared" si="52"/>
        <v>97.492025761124111</v>
      </c>
      <c r="P126" s="71">
        <f t="shared" si="41"/>
        <v>0</v>
      </c>
      <c r="Q126" s="35">
        <f t="shared" si="42"/>
        <v>214.18100000000049</v>
      </c>
      <c r="R126" s="72">
        <v>1103678</v>
      </c>
      <c r="S126" s="72">
        <f t="shared" si="43"/>
        <v>8689.1810000000005</v>
      </c>
      <c r="T126" s="62">
        <f t="shared" si="68"/>
        <v>8689.1810000000005</v>
      </c>
    </row>
    <row r="127" spans="1:20">
      <c r="A127" s="8"/>
      <c r="B127" s="8"/>
      <c r="C127" s="8"/>
      <c r="D127" s="21"/>
      <c r="E127" s="69">
        <v>123</v>
      </c>
      <c r="F127" s="136" t="s">
        <v>92</v>
      </c>
      <c r="G127" s="26">
        <v>195</v>
      </c>
      <c r="H127" s="37">
        <v>96</v>
      </c>
      <c r="I127" s="37">
        <v>96</v>
      </c>
      <c r="J127" s="75">
        <f t="shared" si="75"/>
        <v>95.31</v>
      </c>
      <c r="K127" s="35">
        <f>'1.07. '!M118</f>
        <v>95.31</v>
      </c>
      <c r="L127" s="35"/>
      <c r="M127" s="93">
        <f t="shared" si="73"/>
        <v>95.31</v>
      </c>
      <c r="N127" s="93">
        <f t="shared" si="74"/>
        <v>0.68999999999999773</v>
      </c>
      <c r="O127" s="70">
        <f t="shared" si="52"/>
        <v>99.28125</v>
      </c>
      <c r="P127" s="71">
        <f t="shared" si="41"/>
        <v>0</v>
      </c>
      <c r="Q127" s="35">
        <f t="shared" si="42"/>
        <v>0.68999999999999773</v>
      </c>
      <c r="R127" s="72">
        <v>1103679</v>
      </c>
      <c r="S127" s="72">
        <f t="shared" si="43"/>
        <v>99.69</v>
      </c>
      <c r="T127" s="62">
        <f t="shared" si="68"/>
        <v>99.69</v>
      </c>
    </row>
    <row r="128" spans="1:20">
      <c r="A128" s="9"/>
      <c r="B128" s="8"/>
      <c r="C128" s="8"/>
      <c r="D128" s="21"/>
      <c r="E128" s="69">
        <v>124</v>
      </c>
      <c r="F128" s="136" t="s">
        <v>93</v>
      </c>
      <c r="G128" s="26">
        <v>11343</v>
      </c>
      <c r="H128" s="37">
        <v>5600</v>
      </c>
      <c r="I128" s="37">
        <v>5600</v>
      </c>
      <c r="J128" s="75">
        <f t="shared" si="75"/>
        <v>5132.12</v>
      </c>
      <c r="K128" s="35">
        <f>'1.07. '!M119</f>
        <v>4500.741</v>
      </c>
      <c r="L128" s="35">
        <v>631.37900000000002</v>
      </c>
      <c r="M128" s="93">
        <f t="shared" si="73"/>
        <v>5132.12</v>
      </c>
      <c r="N128" s="93">
        <f t="shared" si="74"/>
        <v>467.88000000000011</v>
      </c>
      <c r="O128" s="70">
        <f t="shared" si="52"/>
        <v>91.644999999999996</v>
      </c>
      <c r="P128" s="71">
        <f t="shared" si="41"/>
        <v>0</v>
      </c>
      <c r="Q128" s="35">
        <f t="shared" si="42"/>
        <v>467.88000000000011</v>
      </c>
      <c r="R128" s="72">
        <v>1103680</v>
      </c>
      <c r="S128" s="72">
        <f t="shared" si="43"/>
        <v>6210.88</v>
      </c>
      <c r="T128" s="62">
        <f t="shared" si="68"/>
        <v>6210.88</v>
      </c>
    </row>
    <row r="129" spans="1:20" s="73" customFormat="1">
      <c r="A129" s="9"/>
      <c r="B129" s="8"/>
      <c r="C129" s="8"/>
      <c r="D129" s="21"/>
      <c r="E129" s="69">
        <v>141</v>
      </c>
      <c r="F129" s="136" t="s">
        <v>116</v>
      </c>
      <c r="G129" s="26">
        <f>44952-157</f>
        <v>44795</v>
      </c>
      <c r="H129" s="37">
        <v>44795</v>
      </c>
      <c r="I129" s="37">
        <v>19194</v>
      </c>
      <c r="J129" s="75">
        <v>36133.43535</v>
      </c>
      <c r="K129" s="35">
        <f>'1.07. '!M120</f>
        <v>16467.792289999998</v>
      </c>
      <c r="L129" s="35">
        <v>1698.90328</v>
      </c>
      <c r="M129" s="93">
        <f t="shared" si="73"/>
        <v>18166.695569999996</v>
      </c>
      <c r="N129" s="93">
        <f t="shared" si="74"/>
        <v>1027.3044300000038</v>
      </c>
      <c r="O129" s="70">
        <f t="shared" si="52"/>
        <v>94.64778352610189</v>
      </c>
      <c r="P129" s="71">
        <f t="shared" si="41"/>
        <v>17966.739780000004</v>
      </c>
      <c r="Q129" s="35">
        <f t="shared" si="42"/>
        <v>8661.5646500000003</v>
      </c>
      <c r="R129" s="72">
        <v>1103681</v>
      </c>
      <c r="S129" s="72">
        <f t="shared" si="43"/>
        <v>26628.304430000004</v>
      </c>
      <c r="T129" s="62">
        <f t="shared" si="68"/>
        <v>8661.5646500000003</v>
      </c>
    </row>
    <row r="130" spans="1:20">
      <c r="A130" s="9"/>
      <c r="B130" s="8"/>
      <c r="C130" s="8"/>
      <c r="D130" s="21"/>
      <c r="E130" s="69">
        <v>144</v>
      </c>
      <c r="F130" s="136" t="s">
        <v>97</v>
      </c>
      <c r="G130" s="26">
        <v>836</v>
      </c>
      <c r="H130" s="37">
        <v>836</v>
      </c>
      <c r="I130" s="37">
        <v>836</v>
      </c>
      <c r="J130" s="75">
        <v>835.96190999999999</v>
      </c>
      <c r="K130" s="35">
        <f>'1.07. '!M121</f>
        <v>835.96190999999999</v>
      </c>
      <c r="L130" s="35"/>
      <c r="M130" s="93">
        <f t="shared" si="73"/>
        <v>835.96190999999999</v>
      </c>
      <c r="N130" s="93">
        <f t="shared" si="74"/>
        <v>3.8090000000011059E-2</v>
      </c>
      <c r="O130" s="70">
        <f t="shared" si="52"/>
        <v>99.995443779904306</v>
      </c>
      <c r="P130" s="71">
        <f t="shared" si="41"/>
        <v>0</v>
      </c>
      <c r="Q130" s="35">
        <f t="shared" si="42"/>
        <v>3.8090000000011059E-2</v>
      </c>
      <c r="R130" s="72">
        <v>1103682</v>
      </c>
      <c r="S130" s="72">
        <f t="shared" si="43"/>
        <v>3.8090000000011059E-2</v>
      </c>
      <c r="T130" s="62">
        <f t="shared" si="68"/>
        <v>3.8090000000011059E-2</v>
      </c>
    </row>
    <row r="131" spans="1:20">
      <c r="A131" s="9"/>
      <c r="B131" s="8"/>
      <c r="C131" s="8"/>
      <c r="D131" s="21"/>
      <c r="E131" s="69">
        <v>149</v>
      </c>
      <c r="F131" s="136" t="s">
        <v>98</v>
      </c>
      <c r="G131" s="26">
        <f>5652+157+428</f>
        <v>6237</v>
      </c>
      <c r="H131" s="37">
        <v>6237</v>
      </c>
      <c r="I131" s="37">
        <v>6237</v>
      </c>
      <c r="J131" s="75">
        <f>M131</f>
        <v>6083.6804900000006</v>
      </c>
      <c r="K131" s="35">
        <f>'1.07. '!M122</f>
        <v>5929.8664900000003</v>
      </c>
      <c r="L131" s="35">
        <v>153.81399999999999</v>
      </c>
      <c r="M131" s="93">
        <f t="shared" si="73"/>
        <v>6083.6804900000006</v>
      </c>
      <c r="N131" s="93">
        <f t="shared" si="74"/>
        <v>153.31950999999935</v>
      </c>
      <c r="O131" s="70">
        <f t="shared" si="52"/>
        <v>97.541774731441407</v>
      </c>
      <c r="P131" s="71">
        <f t="shared" si="41"/>
        <v>0</v>
      </c>
      <c r="Q131" s="35">
        <f t="shared" si="42"/>
        <v>153.31950999999935</v>
      </c>
      <c r="R131" s="72">
        <v>1103683</v>
      </c>
      <c r="S131" s="72">
        <f t="shared" si="43"/>
        <v>153.31950999999935</v>
      </c>
      <c r="T131" s="62">
        <f t="shared" si="68"/>
        <v>153.31950999999935</v>
      </c>
    </row>
    <row r="132" spans="1:20">
      <c r="A132" s="9"/>
      <c r="B132" s="8"/>
      <c r="C132" s="8"/>
      <c r="D132" s="21"/>
      <c r="E132" s="69">
        <v>151</v>
      </c>
      <c r="F132" s="136" t="s">
        <v>99</v>
      </c>
      <c r="G132" s="26">
        <f>43006+68084</f>
        <v>111090</v>
      </c>
      <c r="H132" s="37">
        <v>64006</v>
      </c>
      <c r="I132" s="37">
        <v>64006</v>
      </c>
      <c r="J132" s="75">
        <f t="shared" ref="J132:J138" si="76">M132</f>
        <v>63717.433949999999</v>
      </c>
      <c r="K132" s="35">
        <f>'1.07. '!M123</f>
        <v>38537.76902</v>
      </c>
      <c r="L132" s="35">
        <v>25179.664929999999</v>
      </c>
      <c r="M132" s="93">
        <f t="shared" si="73"/>
        <v>63717.433949999999</v>
      </c>
      <c r="N132" s="93">
        <f t="shared" si="74"/>
        <v>288.56605000000127</v>
      </c>
      <c r="O132" s="70">
        <f t="shared" si="52"/>
        <v>99.549157813329998</v>
      </c>
      <c r="P132" s="71">
        <f t="shared" si="41"/>
        <v>0</v>
      </c>
      <c r="Q132" s="35">
        <f t="shared" si="42"/>
        <v>288.56605000000127</v>
      </c>
      <c r="R132" s="72">
        <v>1103684</v>
      </c>
      <c r="S132" s="72">
        <f t="shared" si="43"/>
        <v>47372.566050000001</v>
      </c>
      <c r="T132" s="62">
        <f t="shared" si="68"/>
        <v>47372.566050000001</v>
      </c>
    </row>
    <row r="133" spans="1:20">
      <c r="A133" s="9"/>
      <c r="B133" s="9"/>
      <c r="C133" s="9"/>
      <c r="D133" s="69"/>
      <c r="E133" s="69">
        <v>152</v>
      </c>
      <c r="F133" s="136" t="s">
        <v>100</v>
      </c>
      <c r="G133" s="26">
        <v>2907</v>
      </c>
      <c r="H133" s="37">
        <v>2907</v>
      </c>
      <c r="I133" s="37">
        <v>904</v>
      </c>
      <c r="J133" s="75">
        <v>1667.3999799999999</v>
      </c>
      <c r="K133" s="35">
        <f>'1.07. '!M124</f>
        <v>588.93693000000007</v>
      </c>
      <c r="L133" s="35">
        <v>195.00233</v>
      </c>
      <c r="M133" s="93">
        <f t="shared" si="73"/>
        <v>783.9392600000001</v>
      </c>
      <c r="N133" s="93">
        <f t="shared" si="74"/>
        <v>120.0607399999999</v>
      </c>
      <c r="O133" s="70">
        <f t="shared" si="52"/>
        <v>86.718944690265502</v>
      </c>
      <c r="P133" s="71">
        <f t="shared" si="41"/>
        <v>883.46071999999981</v>
      </c>
      <c r="Q133" s="35">
        <f t="shared" si="42"/>
        <v>1239.6000200000001</v>
      </c>
      <c r="R133" s="72">
        <v>1103685</v>
      </c>
      <c r="S133" s="72">
        <f t="shared" si="43"/>
        <v>2123.0607399999999</v>
      </c>
      <c r="T133" s="62">
        <f t="shared" si="68"/>
        <v>1239.6000200000001</v>
      </c>
    </row>
    <row r="134" spans="1:20">
      <c r="A134" s="9"/>
      <c r="B134" s="9"/>
      <c r="C134" s="9"/>
      <c r="D134" s="69"/>
      <c r="E134" s="69">
        <v>158</v>
      </c>
      <c r="F134" s="136" t="s">
        <v>101</v>
      </c>
      <c r="G134" s="26">
        <f>730+1670-428</f>
        <v>1972</v>
      </c>
      <c r="H134" s="37">
        <v>1972</v>
      </c>
      <c r="I134" s="37">
        <v>699</v>
      </c>
      <c r="J134" s="75">
        <v>1062.3078</v>
      </c>
      <c r="K134" s="35">
        <f>'1.07. '!M125</f>
        <v>472</v>
      </c>
      <c r="L134" s="35">
        <v>226.30779999999999</v>
      </c>
      <c r="M134" s="93">
        <f t="shared" si="73"/>
        <v>698.30780000000004</v>
      </c>
      <c r="N134" s="93">
        <f t="shared" si="74"/>
        <v>0.69219999999995707</v>
      </c>
      <c r="O134" s="70">
        <f t="shared" si="52"/>
        <v>99.900972818311885</v>
      </c>
      <c r="P134" s="71">
        <f t="shared" si="41"/>
        <v>364</v>
      </c>
      <c r="Q134" s="35">
        <f t="shared" si="42"/>
        <v>909.69219999999996</v>
      </c>
      <c r="R134" s="72">
        <v>1103686</v>
      </c>
      <c r="S134" s="72">
        <f t="shared" si="43"/>
        <v>1273.6922</v>
      </c>
      <c r="T134" s="62">
        <f t="shared" si="68"/>
        <v>909.69219999999996</v>
      </c>
    </row>
    <row r="135" spans="1:20">
      <c r="A135" s="9"/>
      <c r="B135" s="8"/>
      <c r="C135" s="8"/>
      <c r="D135" s="69"/>
      <c r="E135" s="69">
        <v>159</v>
      </c>
      <c r="F135" s="136" t="s">
        <v>84</v>
      </c>
      <c r="G135" s="26">
        <f>7990-1670</f>
        <v>6320</v>
      </c>
      <c r="H135" s="37">
        <v>6280</v>
      </c>
      <c r="I135" s="37">
        <v>2154</v>
      </c>
      <c r="J135" s="75">
        <v>4083.3040000000001</v>
      </c>
      <c r="K135" s="35">
        <f>'1.07. '!M126</f>
        <v>1666</v>
      </c>
      <c r="L135" s="35">
        <v>151.203</v>
      </c>
      <c r="M135" s="93">
        <f t="shared" si="73"/>
        <v>1817.203</v>
      </c>
      <c r="N135" s="93">
        <f t="shared" si="74"/>
        <v>336.79700000000003</v>
      </c>
      <c r="O135" s="70">
        <f t="shared" si="52"/>
        <v>84.364113277623019</v>
      </c>
      <c r="P135" s="71">
        <f t="shared" si="41"/>
        <v>2266.1010000000001</v>
      </c>
      <c r="Q135" s="35">
        <f t="shared" si="42"/>
        <v>2196.6959999999999</v>
      </c>
      <c r="R135" s="72">
        <v>1103687</v>
      </c>
      <c r="S135" s="72">
        <f t="shared" si="43"/>
        <v>4502.7970000000005</v>
      </c>
      <c r="T135" s="62">
        <f t="shared" si="68"/>
        <v>2236.6959999999999</v>
      </c>
    </row>
    <row r="136" spans="1:20">
      <c r="A136" s="9"/>
      <c r="B136" s="8"/>
      <c r="C136" s="8"/>
      <c r="D136" s="69"/>
      <c r="E136" s="76">
        <v>161</v>
      </c>
      <c r="F136" s="136" t="s">
        <v>102</v>
      </c>
      <c r="G136" s="26">
        <v>1250</v>
      </c>
      <c r="H136" s="37"/>
      <c r="I136" s="37"/>
      <c r="J136" s="75">
        <f t="shared" si="76"/>
        <v>0</v>
      </c>
      <c r="K136" s="35">
        <f>'1.07. '!M127</f>
        <v>0</v>
      </c>
      <c r="L136" s="35"/>
      <c r="M136" s="93">
        <f t="shared" si="73"/>
        <v>0</v>
      </c>
      <c r="N136" s="93">
        <f t="shared" si="74"/>
        <v>0</v>
      </c>
      <c r="O136" s="70" t="e">
        <f t="shared" si="52"/>
        <v>#DIV/0!</v>
      </c>
      <c r="P136" s="71">
        <f t="shared" si="41"/>
        <v>0</v>
      </c>
      <c r="Q136" s="35">
        <f t="shared" si="42"/>
        <v>0</v>
      </c>
      <c r="R136" s="72">
        <v>1103688</v>
      </c>
      <c r="S136" s="72">
        <f t="shared" si="43"/>
        <v>1250</v>
      </c>
      <c r="T136" s="62">
        <f t="shared" si="68"/>
        <v>1250</v>
      </c>
    </row>
    <row r="137" spans="1:20">
      <c r="A137" s="9"/>
      <c r="B137" s="8"/>
      <c r="C137" s="8"/>
      <c r="D137" s="69"/>
      <c r="E137" s="76">
        <v>168</v>
      </c>
      <c r="F137" s="136" t="s">
        <v>167</v>
      </c>
      <c r="G137" s="26">
        <v>50</v>
      </c>
      <c r="H137" s="37">
        <v>50</v>
      </c>
      <c r="I137" s="37">
        <v>50</v>
      </c>
      <c r="J137" s="75">
        <f>M137</f>
        <v>24.369999999999997</v>
      </c>
      <c r="K137" s="35">
        <f>'1.07. '!M128</f>
        <v>22.4</v>
      </c>
      <c r="L137" s="35">
        <v>1.97</v>
      </c>
      <c r="M137" s="93">
        <f t="shared" si="73"/>
        <v>24.369999999999997</v>
      </c>
      <c r="N137" s="93">
        <f t="shared" si="74"/>
        <v>25.630000000000003</v>
      </c>
      <c r="O137" s="70">
        <f t="shared" si="52"/>
        <v>48.739999999999995</v>
      </c>
      <c r="P137" s="71">
        <f t="shared" si="41"/>
        <v>0</v>
      </c>
      <c r="Q137" s="35">
        <f t="shared" si="42"/>
        <v>25.630000000000003</v>
      </c>
      <c r="R137" s="72">
        <v>1103689</v>
      </c>
      <c r="S137" s="72">
        <f t="shared" si="43"/>
        <v>25.630000000000003</v>
      </c>
    </row>
    <row r="138" spans="1:20">
      <c r="A138" s="9"/>
      <c r="B138" s="8"/>
      <c r="C138" s="8"/>
      <c r="D138" s="69"/>
      <c r="E138" s="69">
        <v>169</v>
      </c>
      <c r="F138" s="136" t="s">
        <v>103</v>
      </c>
      <c r="G138" s="26">
        <f>200-50</f>
        <v>150</v>
      </c>
      <c r="H138" s="37">
        <v>50</v>
      </c>
      <c r="I138" s="37">
        <v>50</v>
      </c>
      <c r="J138" s="75">
        <f t="shared" si="76"/>
        <v>0</v>
      </c>
      <c r="K138" s="35">
        <f>'1.07. '!M129</f>
        <v>0</v>
      </c>
      <c r="L138" s="35"/>
      <c r="M138" s="93">
        <f t="shared" si="73"/>
        <v>0</v>
      </c>
      <c r="N138" s="93">
        <f t="shared" si="74"/>
        <v>50</v>
      </c>
      <c r="O138" s="70">
        <f t="shared" si="52"/>
        <v>0</v>
      </c>
      <c r="P138" s="71">
        <f t="shared" si="41"/>
        <v>0</v>
      </c>
      <c r="Q138" s="35">
        <f t="shared" si="42"/>
        <v>50</v>
      </c>
      <c r="R138" s="72">
        <v>1103689</v>
      </c>
      <c r="S138" s="72">
        <f t="shared" si="43"/>
        <v>150</v>
      </c>
      <c r="T138" s="62">
        <f t="shared" si="68"/>
        <v>150</v>
      </c>
    </row>
    <row r="139" spans="1:20" s="73" customFormat="1">
      <c r="A139" s="8"/>
      <c r="B139" s="17">
        <v>1263</v>
      </c>
      <c r="C139" s="12"/>
      <c r="D139" s="11"/>
      <c r="E139" s="18"/>
      <c r="F139" s="139" t="s">
        <v>117</v>
      </c>
      <c r="G139" s="42">
        <f t="shared" ref="G139:N139" si="77">G140+G159</f>
        <v>592154</v>
      </c>
      <c r="H139" s="42">
        <f t="shared" si="77"/>
        <v>334502.40000000002</v>
      </c>
      <c r="I139" s="42">
        <f t="shared" si="77"/>
        <v>252245.2</v>
      </c>
      <c r="J139" s="29">
        <f t="shared" si="77"/>
        <v>333621.79093999998</v>
      </c>
      <c r="K139" s="29">
        <f>'1.02.'!M119</f>
        <v>10083.11916</v>
      </c>
      <c r="L139" s="29">
        <f t="shared" si="77"/>
        <v>41862.884669999999</v>
      </c>
      <c r="M139" s="29">
        <f t="shared" si="77"/>
        <v>252106.68747</v>
      </c>
      <c r="N139" s="29">
        <f t="shared" si="77"/>
        <v>138.51253000000079</v>
      </c>
      <c r="O139" s="68">
        <f t="shared" si="52"/>
        <v>99.945088140428439</v>
      </c>
      <c r="P139" s="35">
        <f t="shared" si="41"/>
        <v>81515.103469999973</v>
      </c>
      <c r="Q139" s="35">
        <f t="shared" si="42"/>
        <v>880.60906000004616</v>
      </c>
      <c r="R139" s="72">
        <v>1103690</v>
      </c>
      <c r="S139" s="72">
        <f>G139-M139</f>
        <v>340047.31253</v>
      </c>
      <c r="T139" s="62">
        <f>G139-J139</f>
        <v>258532.20906000002</v>
      </c>
    </row>
    <row r="140" spans="1:20" s="73" customFormat="1" ht="51">
      <c r="A140" s="8"/>
      <c r="B140" s="12"/>
      <c r="C140" s="12" t="s">
        <v>25</v>
      </c>
      <c r="D140" s="11"/>
      <c r="E140" s="18"/>
      <c r="F140" s="139" t="s">
        <v>118</v>
      </c>
      <c r="G140" s="42">
        <f>G141</f>
        <v>591494</v>
      </c>
      <c r="H140" s="42">
        <f t="shared" ref="H140:N140" si="78">H141</f>
        <v>334502.40000000002</v>
      </c>
      <c r="I140" s="42">
        <f t="shared" si="78"/>
        <v>252245.2</v>
      </c>
      <c r="J140" s="42">
        <f t="shared" si="78"/>
        <v>333621.79093999998</v>
      </c>
      <c r="K140" s="29">
        <f>'1.02.'!M120</f>
        <v>10083.11916</v>
      </c>
      <c r="L140" s="29">
        <f t="shared" si="78"/>
        <v>41862.884669999999</v>
      </c>
      <c r="M140" s="29">
        <f t="shared" si="78"/>
        <v>252106.68747</v>
      </c>
      <c r="N140" s="29">
        <f t="shared" si="78"/>
        <v>138.51253000000079</v>
      </c>
      <c r="O140" s="68">
        <f t="shared" si="52"/>
        <v>99.945088140428439</v>
      </c>
      <c r="P140" s="71">
        <f t="shared" si="41"/>
        <v>81515.103469999973</v>
      </c>
      <c r="Q140" s="35">
        <f t="shared" si="42"/>
        <v>880.60906000004616</v>
      </c>
      <c r="R140" s="72">
        <v>1103691</v>
      </c>
      <c r="S140" s="72">
        <f t="shared" si="43"/>
        <v>339387.31253</v>
      </c>
      <c r="T140" s="62">
        <f t="shared" si="68"/>
        <v>257872.20906000002</v>
      </c>
    </row>
    <row r="141" spans="1:20" s="73" customFormat="1">
      <c r="A141" s="8"/>
      <c r="B141" s="12"/>
      <c r="C141" s="12"/>
      <c r="D141" s="11" t="s">
        <v>7</v>
      </c>
      <c r="E141" s="19"/>
      <c r="F141" s="140" t="s">
        <v>85</v>
      </c>
      <c r="G141" s="30">
        <f>SUM(G142:G158)</f>
        <v>591494</v>
      </c>
      <c r="H141" s="30">
        <f t="shared" ref="H141:N141" si="79">SUM(H142:H158)</f>
        <v>334502.40000000002</v>
      </c>
      <c r="I141" s="30">
        <f t="shared" si="79"/>
        <v>252245.2</v>
      </c>
      <c r="J141" s="32">
        <f>SUM(J142:J158)</f>
        <v>333621.79093999998</v>
      </c>
      <c r="K141" s="29">
        <f>'1.02.'!M121</f>
        <v>10083.11916</v>
      </c>
      <c r="L141" s="32">
        <f>SUM(L142:L158)</f>
        <v>41862.884669999999</v>
      </c>
      <c r="M141" s="32">
        <f t="shared" si="79"/>
        <v>252106.68747</v>
      </c>
      <c r="N141" s="32">
        <f t="shared" si="79"/>
        <v>138.51253000000079</v>
      </c>
      <c r="O141" s="68">
        <f t="shared" si="52"/>
        <v>99.945088140428439</v>
      </c>
      <c r="P141" s="71">
        <f t="shared" si="41"/>
        <v>81515.103469999973</v>
      </c>
      <c r="Q141" s="35">
        <f t="shared" si="42"/>
        <v>880.60906000004616</v>
      </c>
      <c r="R141" s="72">
        <v>1103692</v>
      </c>
      <c r="S141" s="72">
        <f t="shared" si="43"/>
        <v>339387.31253</v>
      </c>
      <c r="T141" s="62">
        <f t="shared" si="68"/>
        <v>257872.20906000002</v>
      </c>
    </row>
    <row r="142" spans="1:20">
      <c r="A142" s="8"/>
      <c r="B142" s="13"/>
      <c r="C142" s="13"/>
      <c r="D142" s="14"/>
      <c r="E142" s="20">
        <v>111</v>
      </c>
      <c r="F142" s="136" t="s">
        <v>86</v>
      </c>
      <c r="G142" s="34">
        <f>288321-2200-4200</f>
        <v>281921</v>
      </c>
      <c r="H142" s="34">
        <v>123499.3</v>
      </c>
      <c r="I142" s="34">
        <v>123499.3</v>
      </c>
      <c r="J142" s="75">
        <f>M142</f>
        <v>123499.3</v>
      </c>
      <c r="K142" s="35">
        <f>'1.07. '!M133</f>
        <v>102199.3</v>
      </c>
      <c r="L142" s="36">
        <v>21300</v>
      </c>
      <c r="M142" s="93">
        <f t="shared" si="73"/>
        <v>123499.3</v>
      </c>
      <c r="N142" s="93">
        <f>I142-M142</f>
        <v>0</v>
      </c>
      <c r="O142" s="70">
        <f t="shared" si="52"/>
        <v>100</v>
      </c>
      <c r="P142" s="71">
        <f t="shared" si="41"/>
        <v>0</v>
      </c>
      <c r="Q142" s="35">
        <f t="shared" si="42"/>
        <v>0</v>
      </c>
      <c r="R142" s="72">
        <v>1103693</v>
      </c>
      <c r="S142" s="72">
        <f t="shared" si="43"/>
        <v>158421.70000000001</v>
      </c>
      <c r="T142" s="62">
        <f t="shared" si="68"/>
        <v>158421.70000000001</v>
      </c>
    </row>
    <row r="143" spans="1:20">
      <c r="A143" s="8"/>
      <c r="B143" s="13"/>
      <c r="C143" s="13"/>
      <c r="D143" s="14"/>
      <c r="E143" s="20">
        <v>112</v>
      </c>
      <c r="F143" s="136" t="s">
        <v>87</v>
      </c>
      <c r="G143" s="34">
        <f>3669.3+4200</f>
        <v>7869.3</v>
      </c>
      <c r="H143" s="34">
        <v>7869.3</v>
      </c>
      <c r="I143" s="34">
        <v>7869.3</v>
      </c>
      <c r="J143" s="75">
        <f t="shared" ref="J143:J157" si="80">M143</f>
        <v>7859.9789999999994</v>
      </c>
      <c r="K143" s="35">
        <f>'1.07. '!M134</f>
        <v>3669.2959999999998</v>
      </c>
      <c r="L143" s="36">
        <v>4190.683</v>
      </c>
      <c r="M143" s="93">
        <f t="shared" si="73"/>
        <v>7859.9789999999994</v>
      </c>
      <c r="N143" s="93">
        <f>I143-M143</f>
        <v>9.3210000000008222</v>
      </c>
      <c r="O143" s="70">
        <f t="shared" si="52"/>
        <v>99.88155236170941</v>
      </c>
      <c r="P143" s="71">
        <f t="shared" si="41"/>
        <v>0</v>
      </c>
      <c r="Q143" s="35">
        <f t="shared" si="42"/>
        <v>9.3210000000008222</v>
      </c>
      <c r="R143" s="72">
        <v>1103694</v>
      </c>
      <c r="S143" s="72">
        <f t="shared" si="43"/>
        <v>9.3210000000008222</v>
      </c>
    </row>
    <row r="144" spans="1:20">
      <c r="A144" s="8"/>
      <c r="B144" s="15"/>
      <c r="C144" s="15"/>
      <c r="D144" s="16"/>
      <c r="E144" s="20">
        <v>113</v>
      </c>
      <c r="F144" s="136" t="s">
        <v>88</v>
      </c>
      <c r="G144" s="34">
        <v>7446</v>
      </c>
      <c r="H144" s="34">
        <v>3480.2</v>
      </c>
      <c r="I144" s="34">
        <v>3480.2</v>
      </c>
      <c r="J144" s="75">
        <f t="shared" si="80"/>
        <v>3480.1459999999997</v>
      </c>
      <c r="K144" s="35">
        <f>'1.07. '!M135</f>
        <v>2195.884</v>
      </c>
      <c r="L144" s="36">
        <v>1284.2619999999999</v>
      </c>
      <c r="M144" s="93">
        <f t="shared" si="73"/>
        <v>3480.1459999999997</v>
      </c>
      <c r="N144" s="93">
        <f t="shared" si="74"/>
        <v>5.4000000000087311E-2</v>
      </c>
      <c r="O144" s="70">
        <f t="shared" si="52"/>
        <v>99.998448365036481</v>
      </c>
      <c r="P144" s="71">
        <f t="shared" si="41"/>
        <v>0</v>
      </c>
      <c r="Q144" s="35">
        <f t="shared" si="42"/>
        <v>5.4000000000087311E-2</v>
      </c>
      <c r="R144" s="72">
        <v>1103695</v>
      </c>
      <c r="S144" s="72">
        <f t="shared" si="43"/>
        <v>3965.8540000000003</v>
      </c>
      <c r="T144" s="62">
        <f t="shared" si="68"/>
        <v>3965.8540000000003</v>
      </c>
    </row>
    <row r="145" spans="1:20">
      <c r="A145" s="8"/>
      <c r="B145" s="15"/>
      <c r="C145" s="15"/>
      <c r="D145" s="16"/>
      <c r="E145" s="69">
        <v>116</v>
      </c>
      <c r="F145" s="136" t="s">
        <v>89</v>
      </c>
      <c r="G145" s="34">
        <f>9009-131.5</f>
        <v>8877.5</v>
      </c>
      <c r="H145" s="34">
        <v>1833.8</v>
      </c>
      <c r="I145" s="34">
        <v>1833.8</v>
      </c>
      <c r="J145" s="75">
        <f t="shared" si="80"/>
        <v>1833.7670000000001</v>
      </c>
      <c r="K145" s="35">
        <f>'1.07. '!M136</f>
        <v>1531.3220000000001</v>
      </c>
      <c r="L145" s="36">
        <v>302.44499999999999</v>
      </c>
      <c r="M145" s="93">
        <f>K145+L145</f>
        <v>1833.7670000000001</v>
      </c>
      <c r="N145" s="93">
        <f>I145-M145</f>
        <v>3.2999999999901775E-2</v>
      </c>
      <c r="O145" s="70">
        <f>M145/I145*100</f>
        <v>99.998200458065227</v>
      </c>
      <c r="P145" s="71">
        <f t="shared" si="41"/>
        <v>0</v>
      </c>
      <c r="Q145" s="35">
        <f t="shared" si="42"/>
        <v>3.2999999999901775E-2</v>
      </c>
      <c r="R145" s="72">
        <v>1103696</v>
      </c>
      <c r="S145" s="72">
        <f t="shared" si="43"/>
        <v>7043.7330000000002</v>
      </c>
    </row>
    <row r="146" spans="1:20">
      <c r="A146" s="8"/>
      <c r="B146" s="15"/>
      <c r="C146" s="15"/>
      <c r="D146" s="16"/>
      <c r="E146" s="20">
        <v>121</v>
      </c>
      <c r="F146" s="136" t="s">
        <v>90</v>
      </c>
      <c r="G146" s="34">
        <f>14861-20.4</f>
        <v>14840.6</v>
      </c>
      <c r="H146" s="34">
        <v>7053.9</v>
      </c>
      <c r="I146" s="34">
        <v>7053.9</v>
      </c>
      <c r="J146" s="75">
        <f t="shared" si="80"/>
        <v>7053.9</v>
      </c>
      <c r="K146" s="35">
        <f>'1.07. '!M137</f>
        <v>5574.9</v>
      </c>
      <c r="L146" s="36">
        <v>1479</v>
      </c>
      <c r="M146" s="93">
        <f t="shared" si="73"/>
        <v>7053.9</v>
      </c>
      <c r="N146" s="93">
        <f t="shared" si="74"/>
        <v>0</v>
      </c>
      <c r="O146" s="70">
        <f t="shared" si="52"/>
        <v>100</v>
      </c>
      <c r="P146" s="71">
        <f t="shared" si="41"/>
        <v>0</v>
      </c>
      <c r="Q146" s="35">
        <f t="shared" si="42"/>
        <v>0</v>
      </c>
      <c r="R146" s="72">
        <v>1103697</v>
      </c>
      <c r="S146" s="72">
        <f t="shared" si="43"/>
        <v>7786.7000000000007</v>
      </c>
      <c r="T146" s="62">
        <f t="shared" si="68"/>
        <v>7786.7000000000007</v>
      </c>
    </row>
    <row r="147" spans="1:20">
      <c r="A147" s="8"/>
      <c r="B147" s="15"/>
      <c r="C147" s="15"/>
      <c r="D147" s="16"/>
      <c r="E147" s="20">
        <v>122</v>
      </c>
      <c r="F147" s="136" t="s">
        <v>91</v>
      </c>
      <c r="G147" s="37">
        <f>12910-1105.1</f>
        <v>11804.9</v>
      </c>
      <c r="H147" s="37">
        <v>4463.6000000000004</v>
      </c>
      <c r="I147" s="37">
        <v>4463.6000000000004</v>
      </c>
      <c r="J147" s="75">
        <f t="shared" si="80"/>
        <v>4463.5820000000003</v>
      </c>
      <c r="K147" s="35">
        <f>'1.07. '!M138</f>
        <v>3727.884</v>
      </c>
      <c r="L147" s="35">
        <v>735.69799999999998</v>
      </c>
      <c r="M147" s="93">
        <f t="shared" si="73"/>
        <v>4463.5820000000003</v>
      </c>
      <c r="N147" s="93">
        <f t="shared" si="74"/>
        <v>1.8000000000029104E-2</v>
      </c>
      <c r="O147" s="70">
        <f t="shared" si="52"/>
        <v>99.999596738058955</v>
      </c>
      <c r="P147" s="71">
        <f t="shared" si="41"/>
        <v>0</v>
      </c>
      <c r="Q147" s="35">
        <f t="shared" si="42"/>
        <v>1.8000000000029104E-2</v>
      </c>
      <c r="R147" s="72">
        <v>1103698</v>
      </c>
      <c r="S147" s="72">
        <f t="shared" si="43"/>
        <v>7341.3179999999993</v>
      </c>
      <c r="T147" s="62">
        <f t="shared" si="68"/>
        <v>7341.3179999999993</v>
      </c>
    </row>
    <row r="148" spans="1:20">
      <c r="A148" s="8"/>
      <c r="B148" s="15"/>
      <c r="C148" s="15"/>
      <c r="D148" s="16"/>
      <c r="E148" s="20">
        <v>123</v>
      </c>
      <c r="F148" s="136" t="s">
        <v>92</v>
      </c>
      <c r="G148" s="34">
        <v>228</v>
      </c>
      <c r="H148" s="34">
        <v>110</v>
      </c>
      <c r="I148" s="34">
        <v>110</v>
      </c>
      <c r="J148" s="75">
        <f t="shared" si="80"/>
        <v>95.396330000000006</v>
      </c>
      <c r="K148" s="35">
        <f>'1.07. '!M139</f>
        <v>95.396330000000006</v>
      </c>
      <c r="L148" s="36"/>
      <c r="M148" s="93">
        <f t="shared" si="73"/>
        <v>95.396330000000006</v>
      </c>
      <c r="N148" s="93">
        <f t="shared" si="74"/>
        <v>14.603669999999994</v>
      </c>
      <c r="O148" s="70">
        <f t="shared" si="52"/>
        <v>86.723936363636369</v>
      </c>
      <c r="P148" s="71">
        <f t="shared" si="41"/>
        <v>0</v>
      </c>
      <c r="Q148" s="35">
        <f t="shared" si="42"/>
        <v>14.603669999999994</v>
      </c>
      <c r="R148" s="72">
        <v>1103699</v>
      </c>
      <c r="S148" s="72">
        <f t="shared" si="43"/>
        <v>132.60366999999999</v>
      </c>
      <c r="T148" s="62">
        <f t="shared" si="68"/>
        <v>132.60366999999999</v>
      </c>
    </row>
    <row r="149" spans="1:20">
      <c r="A149" s="9"/>
      <c r="B149" s="15"/>
      <c r="C149" s="15"/>
      <c r="D149" s="16"/>
      <c r="E149" s="20">
        <v>124</v>
      </c>
      <c r="F149" s="136" t="s">
        <v>93</v>
      </c>
      <c r="G149" s="37">
        <f>8607-212.3</f>
        <v>8394.7000000000007</v>
      </c>
      <c r="H149" s="37">
        <v>2820.4</v>
      </c>
      <c r="I149" s="37">
        <v>2820.4</v>
      </c>
      <c r="J149" s="75">
        <f t="shared" si="80"/>
        <v>2820.3729999999996</v>
      </c>
      <c r="K149" s="35">
        <f>'1.07. '!M140</f>
        <v>2353.4809999999998</v>
      </c>
      <c r="L149" s="35">
        <v>466.892</v>
      </c>
      <c r="M149" s="93">
        <f t="shared" si="73"/>
        <v>2820.3729999999996</v>
      </c>
      <c r="N149" s="93">
        <f t="shared" si="74"/>
        <v>2.7000000000498403E-2</v>
      </c>
      <c r="O149" s="70">
        <f t="shared" si="52"/>
        <v>99.999042688980268</v>
      </c>
      <c r="P149" s="71">
        <f t="shared" si="41"/>
        <v>0</v>
      </c>
      <c r="Q149" s="35">
        <f t="shared" si="42"/>
        <v>2.7000000000498403E-2</v>
      </c>
      <c r="R149" s="72">
        <v>1103700</v>
      </c>
      <c r="S149" s="72">
        <f t="shared" si="43"/>
        <v>5574.3270000000011</v>
      </c>
      <c r="T149" s="62">
        <f t="shared" si="68"/>
        <v>5574.3270000000011</v>
      </c>
    </row>
    <row r="150" spans="1:20">
      <c r="A150" s="9"/>
      <c r="B150" s="15"/>
      <c r="C150" s="15"/>
      <c r="D150" s="16"/>
      <c r="E150" s="20">
        <v>141</v>
      </c>
      <c r="F150" s="136" t="s">
        <v>116</v>
      </c>
      <c r="G150" s="34">
        <f>138471-1027-660</f>
        <v>136784</v>
      </c>
      <c r="H150" s="34">
        <v>114871</v>
      </c>
      <c r="I150" s="34">
        <v>35700</v>
      </c>
      <c r="J150" s="75">
        <v>114809.33041</v>
      </c>
      <c r="K150" s="35">
        <f>'1.07. '!M141</f>
        <v>26700</v>
      </c>
      <c r="L150" s="36">
        <v>9000</v>
      </c>
      <c r="M150" s="93">
        <f t="shared" si="73"/>
        <v>35700</v>
      </c>
      <c r="N150" s="93">
        <f t="shared" si="74"/>
        <v>0</v>
      </c>
      <c r="O150" s="70">
        <f t="shared" si="52"/>
        <v>100</v>
      </c>
      <c r="P150" s="71">
        <f t="shared" si="41"/>
        <v>79109.330409999995</v>
      </c>
      <c r="Q150" s="35">
        <f t="shared" si="42"/>
        <v>61.669590000004973</v>
      </c>
      <c r="R150" s="72">
        <v>1103701</v>
      </c>
      <c r="S150" s="72">
        <f t="shared" si="43"/>
        <v>101084</v>
      </c>
      <c r="T150" s="62">
        <f t="shared" si="68"/>
        <v>21974.669590000005</v>
      </c>
    </row>
    <row r="151" spans="1:20">
      <c r="A151" s="9"/>
      <c r="B151" s="15"/>
      <c r="C151" s="15"/>
      <c r="D151" s="16"/>
      <c r="E151" s="20">
        <v>144</v>
      </c>
      <c r="F151" s="136" t="s">
        <v>97</v>
      </c>
      <c r="G151" s="37">
        <v>1470</v>
      </c>
      <c r="H151" s="37">
        <v>1470</v>
      </c>
      <c r="I151" s="37">
        <v>1470</v>
      </c>
      <c r="J151" s="75">
        <v>1470</v>
      </c>
      <c r="K151" s="35">
        <f>'1.07. '!M142</f>
        <v>1470</v>
      </c>
      <c r="L151" s="36"/>
      <c r="M151" s="93">
        <f t="shared" si="73"/>
        <v>1470</v>
      </c>
      <c r="N151" s="93">
        <f t="shared" si="74"/>
        <v>0</v>
      </c>
      <c r="O151" s="70">
        <f t="shared" si="52"/>
        <v>100</v>
      </c>
      <c r="P151" s="71">
        <f t="shared" si="41"/>
        <v>0</v>
      </c>
      <c r="Q151" s="35">
        <f t="shared" si="42"/>
        <v>0</v>
      </c>
      <c r="R151" s="72">
        <v>1103702</v>
      </c>
      <c r="S151" s="72">
        <f t="shared" si="43"/>
        <v>0</v>
      </c>
      <c r="T151" s="62">
        <f t="shared" si="68"/>
        <v>0</v>
      </c>
    </row>
    <row r="152" spans="1:20">
      <c r="A152" s="9"/>
      <c r="B152" s="15"/>
      <c r="C152" s="15"/>
      <c r="D152" s="16"/>
      <c r="E152" s="20">
        <v>149</v>
      </c>
      <c r="F152" s="136" t="s">
        <v>98</v>
      </c>
      <c r="G152" s="34">
        <v>5557</v>
      </c>
      <c r="H152" s="34">
        <v>4639.7</v>
      </c>
      <c r="I152" s="34">
        <v>4639.7</v>
      </c>
      <c r="J152" s="75">
        <v>4525.5968700000003</v>
      </c>
      <c r="K152" s="35">
        <f>'1.07. '!M143</f>
        <v>4068</v>
      </c>
      <c r="L152" s="35">
        <v>457.59687000000002</v>
      </c>
      <c r="M152" s="93">
        <f t="shared" si="73"/>
        <v>4525.5968700000003</v>
      </c>
      <c r="N152" s="93">
        <f>I152-M152</f>
        <v>114.10312999999951</v>
      </c>
      <c r="O152" s="70">
        <f t="shared" si="52"/>
        <v>97.540721813910395</v>
      </c>
      <c r="P152" s="71">
        <f t="shared" si="41"/>
        <v>0</v>
      </c>
      <c r="Q152" s="35">
        <f t="shared" si="42"/>
        <v>114.10312999999951</v>
      </c>
      <c r="R152" s="72">
        <v>1103703</v>
      </c>
      <c r="S152" s="72">
        <f t="shared" si="43"/>
        <v>1031.4031299999997</v>
      </c>
      <c r="T152" s="62">
        <f t="shared" si="68"/>
        <v>1031.4031299999997</v>
      </c>
    </row>
    <row r="153" spans="1:20">
      <c r="A153" s="9"/>
      <c r="B153" s="15"/>
      <c r="C153" s="15"/>
      <c r="D153" s="16"/>
      <c r="E153" s="20">
        <v>151</v>
      </c>
      <c r="F153" s="136" t="s">
        <v>99</v>
      </c>
      <c r="G153" s="34">
        <f>60855+34853</f>
        <v>95708</v>
      </c>
      <c r="H153" s="34">
        <v>54655</v>
      </c>
      <c r="I153" s="34">
        <v>54655</v>
      </c>
      <c r="J153" s="75">
        <f>M153</f>
        <v>54655</v>
      </c>
      <c r="K153" s="35">
        <f>'1.07. '!M144</f>
        <v>52655</v>
      </c>
      <c r="L153" s="36">
        <v>2000</v>
      </c>
      <c r="M153" s="93">
        <f t="shared" si="73"/>
        <v>54655</v>
      </c>
      <c r="N153" s="93">
        <f t="shared" si="74"/>
        <v>0</v>
      </c>
      <c r="O153" s="70">
        <f t="shared" si="52"/>
        <v>100</v>
      </c>
      <c r="P153" s="71">
        <f t="shared" si="41"/>
        <v>0</v>
      </c>
      <c r="Q153" s="35">
        <f t="shared" si="42"/>
        <v>0</v>
      </c>
      <c r="R153" s="72">
        <v>1103704</v>
      </c>
      <c r="S153" s="72">
        <f t="shared" si="43"/>
        <v>41053</v>
      </c>
      <c r="T153" s="62">
        <f t="shared" si="68"/>
        <v>41053</v>
      </c>
    </row>
    <row r="154" spans="1:20">
      <c r="A154" s="9"/>
      <c r="B154" s="15"/>
      <c r="C154" s="15"/>
      <c r="D154" s="16"/>
      <c r="E154" s="20">
        <v>152</v>
      </c>
      <c r="F154" s="136" t="s">
        <v>100</v>
      </c>
      <c r="G154" s="34">
        <v>1940</v>
      </c>
      <c r="H154" s="34">
        <v>880</v>
      </c>
      <c r="I154" s="34">
        <v>521.9</v>
      </c>
      <c r="J154" s="75">
        <v>879.07015999999999</v>
      </c>
      <c r="K154" s="35">
        <f>'1.07. '!M145</f>
        <v>447.9</v>
      </c>
      <c r="L154" s="36">
        <v>74</v>
      </c>
      <c r="M154" s="93">
        <f t="shared" si="73"/>
        <v>521.9</v>
      </c>
      <c r="N154" s="93">
        <f t="shared" si="74"/>
        <v>0</v>
      </c>
      <c r="O154" s="70">
        <f t="shared" si="52"/>
        <v>100</v>
      </c>
      <c r="P154" s="71">
        <f t="shared" si="41"/>
        <v>357.17016000000001</v>
      </c>
      <c r="Q154" s="35">
        <f t="shared" si="42"/>
        <v>0.92984000000001288</v>
      </c>
      <c r="R154" s="72">
        <v>1103705</v>
      </c>
      <c r="S154" s="72">
        <f t="shared" si="43"/>
        <v>1418.1</v>
      </c>
      <c r="T154" s="62">
        <f t="shared" si="68"/>
        <v>1060.92984</v>
      </c>
    </row>
    <row r="155" spans="1:20">
      <c r="A155" s="9"/>
      <c r="B155" s="15"/>
      <c r="C155" s="15"/>
      <c r="D155" s="16"/>
      <c r="E155" s="20">
        <v>158</v>
      </c>
      <c r="F155" s="136" t="s">
        <v>101</v>
      </c>
      <c r="G155" s="34">
        <f>730+900</f>
        <v>1630</v>
      </c>
      <c r="H155" s="34">
        <v>1630</v>
      </c>
      <c r="I155" s="34">
        <v>892.4</v>
      </c>
      <c r="J155" s="75">
        <v>1360.6156000000001</v>
      </c>
      <c r="K155" s="35">
        <f>'1.07. '!M146</f>
        <v>666</v>
      </c>
      <c r="L155" s="36">
        <v>226.30779999999999</v>
      </c>
      <c r="M155" s="93">
        <f t="shared" si="73"/>
        <v>892.30780000000004</v>
      </c>
      <c r="N155" s="93">
        <f t="shared" si="74"/>
        <v>9.2199999999934334E-2</v>
      </c>
      <c r="O155" s="70">
        <f t="shared" si="52"/>
        <v>99.989668310174821</v>
      </c>
      <c r="P155" s="71">
        <f t="shared" si="41"/>
        <v>468.30780000000004</v>
      </c>
      <c r="Q155" s="35">
        <f t="shared" si="42"/>
        <v>269.38439999999991</v>
      </c>
      <c r="R155" s="72">
        <v>1103706</v>
      </c>
      <c r="S155" s="72">
        <f t="shared" si="43"/>
        <v>737.69219999999996</v>
      </c>
      <c r="T155" s="62">
        <f t="shared" si="68"/>
        <v>269.38439999999991</v>
      </c>
    </row>
    <row r="156" spans="1:20">
      <c r="A156" s="9"/>
      <c r="B156" s="15"/>
      <c r="C156" s="15"/>
      <c r="D156" s="16"/>
      <c r="E156" s="20">
        <v>159</v>
      </c>
      <c r="F156" s="136" t="s">
        <v>84</v>
      </c>
      <c r="G156" s="34">
        <f>5598-900-269.2</f>
        <v>4428.8</v>
      </c>
      <c r="H156" s="34">
        <v>3709.5</v>
      </c>
      <c r="I156" s="34">
        <v>1719</v>
      </c>
      <c r="J156" s="75">
        <v>3299.2950999999998</v>
      </c>
      <c r="K156" s="35">
        <f>'1.07. '!M147</f>
        <v>1373</v>
      </c>
      <c r="L156" s="36">
        <v>346</v>
      </c>
      <c r="M156" s="93">
        <f t="shared" si="73"/>
        <v>1719</v>
      </c>
      <c r="N156" s="93">
        <f t="shared" si="74"/>
        <v>0</v>
      </c>
      <c r="O156" s="70">
        <f t="shared" si="52"/>
        <v>100</v>
      </c>
      <c r="P156" s="71">
        <f t="shared" si="41"/>
        <v>1580.2950999999998</v>
      </c>
      <c r="Q156" s="35">
        <f t="shared" si="42"/>
        <v>410.20490000000018</v>
      </c>
      <c r="R156" s="72">
        <v>1103707</v>
      </c>
      <c r="S156" s="72">
        <f t="shared" si="43"/>
        <v>2709.8</v>
      </c>
      <c r="T156" s="62">
        <f t="shared" si="68"/>
        <v>1129.5049000000004</v>
      </c>
    </row>
    <row r="157" spans="1:20">
      <c r="A157" s="9"/>
      <c r="B157" s="15"/>
      <c r="C157" s="15"/>
      <c r="D157" s="16"/>
      <c r="E157" s="20">
        <v>161</v>
      </c>
      <c r="F157" s="136" t="s">
        <v>102</v>
      </c>
      <c r="G157" s="37">
        <v>269.2</v>
      </c>
      <c r="H157" s="37">
        <v>269.2</v>
      </c>
      <c r="I157" s="37">
        <v>269.2</v>
      </c>
      <c r="J157" s="75">
        <f t="shared" si="80"/>
        <v>269.16000000000003</v>
      </c>
      <c r="K157" s="35">
        <f>'1.07. '!M148</f>
        <v>269.16000000000003</v>
      </c>
      <c r="L157" s="35"/>
      <c r="M157" s="93">
        <f t="shared" si="73"/>
        <v>269.16000000000003</v>
      </c>
      <c r="N157" s="93">
        <f t="shared" si="74"/>
        <v>3.999999999996362E-2</v>
      </c>
      <c r="O157" s="70">
        <f t="shared" si="52"/>
        <v>99.985141158989606</v>
      </c>
      <c r="P157" s="71">
        <f t="shared" si="41"/>
        <v>0</v>
      </c>
      <c r="Q157" s="35">
        <f t="shared" si="42"/>
        <v>3.999999999996362E-2</v>
      </c>
      <c r="R157" s="72">
        <v>1103708</v>
      </c>
      <c r="S157" s="72">
        <f t="shared" si="43"/>
        <v>3.999999999996362E-2</v>
      </c>
      <c r="T157" s="62">
        <f t="shared" si="68"/>
        <v>3.999999999996362E-2</v>
      </c>
    </row>
    <row r="158" spans="1:20">
      <c r="A158" s="9"/>
      <c r="B158" s="15"/>
      <c r="C158" s="15"/>
      <c r="D158" s="16"/>
      <c r="E158" s="20">
        <v>169</v>
      </c>
      <c r="F158" s="136" t="s">
        <v>103</v>
      </c>
      <c r="G158" s="34">
        <f>1298+1027</f>
        <v>2325</v>
      </c>
      <c r="H158" s="34">
        <v>1247.5</v>
      </c>
      <c r="I158" s="34">
        <v>1247.5</v>
      </c>
      <c r="J158" s="75">
        <v>1247.2794699999999</v>
      </c>
      <c r="K158" s="35">
        <f>'1.07. '!M149</f>
        <v>1247.2794699999999</v>
      </c>
      <c r="L158" s="36"/>
      <c r="M158" s="93">
        <f t="shared" si="73"/>
        <v>1247.2794699999999</v>
      </c>
      <c r="N158" s="93">
        <f t="shared" si="74"/>
        <v>0.22053000000005341</v>
      </c>
      <c r="O158" s="70">
        <f t="shared" si="52"/>
        <v>99.982322244488969</v>
      </c>
      <c r="P158" s="71">
        <f t="shared" ref="P158:P224" si="81">J158-M158</f>
        <v>0</v>
      </c>
      <c r="Q158" s="35">
        <f t="shared" ref="Q158:Q224" si="82">H158-J158</f>
        <v>0.22053000000005341</v>
      </c>
      <c r="R158" s="72">
        <v>1103709</v>
      </c>
      <c r="S158" s="72">
        <f t="shared" ref="S158:S224" si="83">G158-M158</f>
        <v>1077.7205300000001</v>
      </c>
      <c r="T158" s="62">
        <f t="shared" si="68"/>
        <v>1077.7205300000001</v>
      </c>
    </row>
    <row r="159" spans="1:20" ht="25.5">
      <c r="A159" s="100"/>
      <c r="B159" s="15"/>
      <c r="C159" s="57" t="s">
        <v>43</v>
      </c>
      <c r="D159" s="16"/>
      <c r="E159" s="20"/>
      <c r="F159" s="139" t="s">
        <v>119</v>
      </c>
      <c r="G159" s="59">
        <f t="shared" ref="G159:N160" si="84">G160</f>
        <v>660</v>
      </c>
      <c r="H159" s="59">
        <f t="shared" si="84"/>
        <v>0</v>
      </c>
      <c r="I159" s="59">
        <f t="shared" si="84"/>
        <v>0</v>
      </c>
      <c r="J159" s="33">
        <f t="shared" si="84"/>
        <v>0</v>
      </c>
      <c r="K159" s="35">
        <f>'1.05.'!M149</f>
        <v>0</v>
      </c>
      <c r="L159" s="29">
        <f t="shared" si="84"/>
        <v>0</v>
      </c>
      <c r="M159" s="29">
        <f t="shared" si="84"/>
        <v>0</v>
      </c>
      <c r="N159" s="29">
        <f t="shared" si="84"/>
        <v>0</v>
      </c>
      <c r="O159" s="70"/>
      <c r="P159" s="71">
        <f t="shared" si="81"/>
        <v>0</v>
      </c>
      <c r="Q159" s="35">
        <f t="shared" si="82"/>
        <v>0</v>
      </c>
      <c r="R159" s="72">
        <v>1103710</v>
      </c>
      <c r="S159" s="72">
        <f t="shared" si="83"/>
        <v>660</v>
      </c>
    </row>
    <row r="160" spans="1:20">
      <c r="A160" s="9"/>
      <c r="B160" s="12"/>
      <c r="C160" s="12"/>
      <c r="D160" s="11" t="s">
        <v>7</v>
      </c>
      <c r="E160" s="97"/>
      <c r="F160" s="140" t="s">
        <v>85</v>
      </c>
      <c r="G160" s="98">
        <f>G161</f>
        <v>660</v>
      </c>
      <c r="H160" s="98">
        <f t="shared" si="84"/>
        <v>0</v>
      </c>
      <c r="I160" s="98">
        <f t="shared" si="84"/>
        <v>0</v>
      </c>
      <c r="J160" s="99">
        <f t="shared" si="84"/>
        <v>0</v>
      </c>
      <c r="K160" s="35">
        <f>'1.05.'!M150</f>
        <v>0</v>
      </c>
      <c r="L160" s="32">
        <f t="shared" si="84"/>
        <v>0</v>
      </c>
      <c r="M160" s="32">
        <f t="shared" si="84"/>
        <v>0</v>
      </c>
      <c r="N160" s="32">
        <f t="shared" si="84"/>
        <v>0</v>
      </c>
      <c r="O160" s="68" t="e">
        <f>M160/I160*100</f>
        <v>#DIV/0!</v>
      </c>
      <c r="P160" s="71">
        <f t="shared" si="81"/>
        <v>0</v>
      </c>
      <c r="Q160" s="35">
        <f t="shared" si="82"/>
        <v>0</v>
      </c>
      <c r="R160" s="72">
        <v>1103711</v>
      </c>
      <c r="S160" s="72">
        <f t="shared" si="83"/>
        <v>660</v>
      </c>
      <c r="T160" s="62">
        <f>G160-J160</f>
        <v>660</v>
      </c>
    </row>
    <row r="161" spans="1:20" ht="25.5">
      <c r="A161" s="9"/>
      <c r="B161" s="13"/>
      <c r="C161" s="13"/>
      <c r="D161" s="14"/>
      <c r="E161" s="20">
        <v>414</v>
      </c>
      <c r="F161" s="50" t="s">
        <v>105</v>
      </c>
      <c r="G161" s="37">
        <v>660</v>
      </c>
      <c r="H161" s="37"/>
      <c r="I161" s="37"/>
      <c r="J161" s="75"/>
      <c r="K161" s="35">
        <f>'1.05.'!M151</f>
        <v>0</v>
      </c>
      <c r="L161" s="71"/>
      <c r="M161" s="93">
        <f t="shared" si="73"/>
        <v>0</v>
      </c>
      <c r="N161" s="93">
        <f>I161-M161</f>
        <v>0</v>
      </c>
      <c r="O161" s="70"/>
      <c r="P161" s="71">
        <f t="shared" si="81"/>
        <v>0</v>
      </c>
      <c r="Q161" s="35">
        <f t="shared" si="82"/>
        <v>0</v>
      </c>
      <c r="R161" s="72">
        <v>1103712</v>
      </c>
      <c r="S161" s="72">
        <f t="shared" si="83"/>
        <v>660</v>
      </c>
    </row>
    <row r="162" spans="1:20" s="73" customFormat="1">
      <c r="A162" s="8"/>
      <c r="B162" s="8" t="s">
        <v>14</v>
      </c>
      <c r="C162" s="8"/>
      <c r="D162" s="21"/>
      <c r="E162" s="21"/>
      <c r="F162" s="139" t="s">
        <v>120</v>
      </c>
      <c r="G162" s="59">
        <f>G163+G184</f>
        <v>334783</v>
      </c>
      <c r="H162" s="59">
        <f t="shared" ref="H162:N162" si="85">H163+H184</f>
        <v>186659.3</v>
      </c>
      <c r="I162" s="59">
        <f t="shared" si="85"/>
        <v>172966.80000000002</v>
      </c>
      <c r="J162" s="29">
        <f t="shared" si="85"/>
        <v>185453.32485999996</v>
      </c>
      <c r="K162" s="29">
        <f t="shared" si="85"/>
        <v>18632.26413</v>
      </c>
      <c r="L162" s="29">
        <f t="shared" si="85"/>
        <v>25288.387469999998</v>
      </c>
      <c r="M162" s="29">
        <f t="shared" si="85"/>
        <v>172595.27566999997</v>
      </c>
      <c r="N162" s="29">
        <f t="shared" si="85"/>
        <v>371.52433000000616</v>
      </c>
      <c r="O162" s="68">
        <f t="shared" si="52"/>
        <v>99.785204831216134</v>
      </c>
      <c r="P162" s="35">
        <f t="shared" si="81"/>
        <v>12858.049189999991</v>
      </c>
      <c r="Q162" s="35">
        <f t="shared" si="82"/>
        <v>1205.9751400000241</v>
      </c>
      <c r="R162" s="72">
        <v>1103713</v>
      </c>
      <c r="S162" s="72">
        <f t="shared" si="83"/>
        <v>162187.72433000003</v>
      </c>
      <c r="T162" s="62">
        <f t="shared" ref="T162:T243" si="86">G162-J162</f>
        <v>149329.67514000004</v>
      </c>
    </row>
    <row r="163" spans="1:20" ht="38.25">
      <c r="A163" s="8"/>
      <c r="B163" s="8"/>
      <c r="C163" s="17" t="s">
        <v>38</v>
      </c>
      <c r="D163" s="17"/>
      <c r="E163" s="21"/>
      <c r="F163" s="139" t="s">
        <v>121</v>
      </c>
      <c r="G163" s="42">
        <f>G164</f>
        <v>316128</v>
      </c>
      <c r="H163" s="42">
        <f t="shared" ref="H163:N163" si="87">H164</f>
        <v>186659.3</v>
      </c>
      <c r="I163" s="42">
        <f t="shared" si="87"/>
        <v>172966.80000000002</v>
      </c>
      <c r="J163" s="29">
        <f t="shared" si="87"/>
        <v>185453.32485999996</v>
      </c>
      <c r="K163" s="29">
        <f>'1.02.'!M143</f>
        <v>18632.26413</v>
      </c>
      <c r="L163" s="29">
        <f t="shared" si="87"/>
        <v>25288.387469999998</v>
      </c>
      <c r="M163" s="29">
        <f t="shared" si="87"/>
        <v>172595.27566999997</v>
      </c>
      <c r="N163" s="29">
        <f t="shared" si="87"/>
        <v>371.52433000000616</v>
      </c>
      <c r="O163" s="68">
        <f t="shared" si="52"/>
        <v>99.785204831216134</v>
      </c>
      <c r="P163" s="71">
        <f t="shared" si="81"/>
        <v>12858.049189999991</v>
      </c>
      <c r="Q163" s="35">
        <f t="shared" si="82"/>
        <v>1205.9751400000241</v>
      </c>
      <c r="R163" s="72">
        <v>1103714</v>
      </c>
      <c r="S163" s="72">
        <f t="shared" si="83"/>
        <v>143532.72433000003</v>
      </c>
      <c r="T163" s="62">
        <f t="shared" si="86"/>
        <v>130674.67514000004</v>
      </c>
    </row>
    <row r="164" spans="1:20">
      <c r="A164" s="8"/>
      <c r="B164" s="8"/>
      <c r="C164" s="17"/>
      <c r="D164" s="17" t="s">
        <v>7</v>
      </c>
      <c r="E164" s="10"/>
      <c r="F164" s="140" t="s">
        <v>85</v>
      </c>
      <c r="G164" s="40">
        <f>SUM(G165:G183)</f>
        <v>316128</v>
      </c>
      <c r="H164" s="40">
        <f>SUM(H165:H183)</f>
        <v>186659.3</v>
      </c>
      <c r="I164" s="40">
        <f>SUM(I165:I183)</f>
        <v>172966.80000000002</v>
      </c>
      <c r="J164" s="24">
        <f>SUM(J165:J183)</f>
        <v>185453.32485999996</v>
      </c>
      <c r="K164" s="24">
        <f t="shared" ref="K164:N164" si="88">SUM(K165:K183)</f>
        <v>147306.88819999999</v>
      </c>
      <c r="L164" s="24">
        <f t="shared" si="88"/>
        <v>25288.387469999998</v>
      </c>
      <c r="M164" s="24">
        <f t="shared" si="88"/>
        <v>172595.27566999997</v>
      </c>
      <c r="N164" s="24">
        <f t="shared" si="88"/>
        <v>371.52433000000616</v>
      </c>
      <c r="O164" s="66">
        <f t="shared" si="52"/>
        <v>99.785204831216134</v>
      </c>
      <c r="P164" s="71">
        <f t="shared" si="81"/>
        <v>12858.049189999991</v>
      </c>
      <c r="Q164" s="35">
        <f t="shared" si="82"/>
        <v>1205.9751400000241</v>
      </c>
      <c r="R164" s="72">
        <v>1103715</v>
      </c>
      <c r="S164" s="72">
        <f t="shared" si="83"/>
        <v>143532.72433000003</v>
      </c>
      <c r="T164" s="62">
        <f t="shared" si="86"/>
        <v>130674.67514000004</v>
      </c>
    </row>
    <row r="165" spans="1:20">
      <c r="A165" s="8"/>
      <c r="B165" s="9"/>
      <c r="C165" s="9"/>
      <c r="D165" s="69"/>
      <c r="E165" s="69">
        <v>111</v>
      </c>
      <c r="F165" s="136" t="s">
        <v>86</v>
      </c>
      <c r="G165" s="26">
        <f>216606-220-220</f>
        <v>216166</v>
      </c>
      <c r="H165" s="26">
        <v>120560</v>
      </c>
      <c r="I165" s="26">
        <v>120560</v>
      </c>
      <c r="J165" s="105">
        <f t="shared" ref="J165:J177" si="89">M165</f>
        <v>120555.65</v>
      </c>
      <c r="K165" s="35">
        <f>'1.07. '!M156</f>
        <v>103780</v>
      </c>
      <c r="L165" s="27">
        <v>16775.650000000001</v>
      </c>
      <c r="M165" s="93">
        <f t="shared" si="73"/>
        <v>120555.65</v>
      </c>
      <c r="N165" s="93">
        <f t="shared" si="74"/>
        <v>4.3500000000058208</v>
      </c>
      <c r="O165" s="70">
        <f t="shared" si="52"/>
        <v>99.996391838088911</v>
      </c>
      <c r="P165" s="71">
        <f t="shared" si="81"/>
        <v>0</v>
      </c>
      <c r="Q165" s="35">
        <f t="shared" si="82"/>
        <v>4.3500000000058208</v>
      </c>
      <c r="R165" s="72">
        <v>1103716</v>
      </c>
      <c r="S165" s="72">
        <f t="shared" si="83"/>
        <v>95610.35</v>
      </c>
      <c r="T165" s="62">
        <f t="shared" si="86"/>
        <v>95610.35</v>
      </c>
    </row>
    <row r="166" spans="1:20">
      <c r="A166" s="8"/>
      <c r="B166" s="9"/>
      <c r="C166" s="9"/>
      <c r="D166" s="69"/>
      <c r="E166" s="69">
        <v>112</v>
      </c>
      <c r="F166" s="136" t="s">
        <v>87</v>
      </c>
      <c r="G166" s="26">
        <f>220+220</f>
        <v>440</v>
      </c>
      <c r="H166" s="26">
        <v>440</v>
      </c>
      <c r="I166" s="26">
        <v>440</v>
      </c>
      <c r="J166" s="105">
        <f t="shared" si="89"/>
        <v>440</v>
      </c>
      <c r="K166" s="35">
        <f>'1.07. '!M157</f>
        <v>220</v>
      </c>
      <c r="L166" s="27">
        <v>220</v>
      </c>
      <c r="M166" s="93">
        <f t="shared" si="73"/>
        <v>440</v>
      </c>
      <c r="N166" s="93">
        <f t="shared" si="74"/>
        <v>0</v>
      </c>
      <c r="O166" s="70">
        <f t="shared" si="52"/>
        <v>100</v>
      </c>
      <c r="P166" s="71">
        <f t="shared" si="81"/>
        <v>0</v>
      </c>
      <c r="Q166" s="35">
        <f t="shared" si="82"/>
        <v>0</v>
      </c>
      <c r="R166" s="72">
        <v>1103717</v>
      </c>
      <c r="S166" s="72">
        <f t="shared" si="83"/>
        <v>0</v>
      </c>
    </row>
    <row r="167" spans="1:20">
      <c r="A167" s="8"/>
      <c r="B167" s="9"/>
      <c r="C167" s="9"/>
      <c r="D167" s="69"/>
      <c r="E167" s="76">
        <v>113</v>
      </c>
      <c r="F167" s="136" t="s">
        <v>88</v>
      </c>
      <c r="G167" s="26">
        <v>8519</v>
      </c>
      <c r="H167" s="26">
        <v>4301</v>
      </c>
      <c r="I167" s="26">
        <v>4301</v>
      </c>
      <c r="J167" s="105">
        <f t="shared" si="89"/>
        <v>4301</v>
      </c>
      <c r="K167" s="35">
        <f>'1.07. '!M158</f>
        <v>2801</v>
      </c>
      <c r="L167" s="27">
        <v>1500</v>
      </c>
      <c r="M167" s="93">
        <f t="shared" si="73"/>
        <v>4301</v>
      </c>
      <c r="N167" s="93">
        <f t="shared" si="74"/>
        <v>0</v>
      </c>
      <c r="O167" s="70">
        <f t="shared" si="52"/>
        <v>100</v>
      </c>
      <c r="P167" s="71">
        <f t="shared" si="81"/>
        <v>0</v>
      </c>
      <c r="Q167" s="35">
        <f t="shared" si="82"/>
        <v>0</v>
      </c>
      <c r="R167" s="72">
        <v>1103718</v>
      </c>
      <c r="S167" s="72">
        <f t="shared" si="83"/>
        <v>4218</v>
      </c>
      <c r="T167" s="62">
        <f t="shared" si="86"/>
        <v>4218</v>
      </c>
    </row>
    <row r="168" spans="1:20">
      <c r="A168" s="8"/>
      <c r="B168" s="9"/>
      <c r="C168" s="9"/>
      <c r="D168" s="69"/>
      <c r="E168" s="69">
        <v>116</v>
      </c>
      <c r="F168" s="136" t="s">
        <v>89</v>
      </c>
      <c r="G168" s="26">
        <v>2134</v>
      </c>
      <c r="H168" s="26">
        <v>1190</v>
      </c>
      <c r="I168" s="26">
        <v>1190</v>
      </c>
      <c r="J168" s="105">
        <f t="shared" si="89"/>
        <v>1190</v>
      </c>
      <c r="K168" s="35">
        <f>'1.07. '!M159</f>
        <v>1020</v>
      </c>
      <c r="L168" s="27">
        <v>170</v>
      </c>
      <c r="M168" s="93">
        <f>K168+L168</f>
        <v>1190</v>
      </c>
      <c r="N168" s="93">
        <f>I168-M168</f>
        <v>0</v>
      </c>
      <c r="O168" s="70">
        <f>M168/I168*100</f>
        <v>100</v>
      </c>
      <c r="P168" s="71">
        <f t="shared" si="81"/>
        <v>0</v>
      </c>
      <c r="Q168" s="35">
        <f t="shared" si="82"/>
        <v>0</v>
      </c>
      <c r="R168" s="72">
        <v>1103719</v>
      </c>
      <c r="S168" s="72">
        <f t="shared" si="83"/>
        <v>944</v>
      </c>
    </row>
    <row r="169" spans="1:20">
      <c r="A169" s="8"/>
      <c r="B169" s="9"/>
      <c r="C169" s="9"/>
      <c r="D169" s="69"/>
      <c r="E169" s="69">
        <v>121</v>
      </c>
      <c r="F169" s="136" t="s">
        <v>90</v>
      </c>
      <c r="G169" s="26">
        <f>11697+550</f>
        <v>12247</v>
      </c>
      <c r="H169" s="26">
        <v>7030</v>
      </c>
      <c r="I169" s="26">
        <v>7030</v>
      </c>
      <c r="J169" s="105">
        <f t="shared" si="89"/>
        <v>7030</v>
      </c>
      <c r="K169" s="35">
        <f>'1.07. '!M160</f>
        <v>5810</v>
      </c>
      <c r="L169" s="27">
        <v>1220</v>
      </c>
      <c r="M169" s="93">
        <f t="shared" si="73"/>
        <v>7030</v>
      </c>
      <c r="N169" s="93">
        <f t="shared" si="74"/>
        <v>0</v>
      </c>
      <c r="O169" s="70">
        <f t="shared" ref="O169:O239" si="90">M169/I169*100</f>
        <v>100</v>
      </c>
      <c r="P169" s="71">
        <f t="shared" si="81"/>
        <v>0</v>
      </c>
      <c r="Q169" s="35">
        <f t="shared" si="82"/>
        <v>0</v>
      </c>
      <c r="R169" s="72">
        <v>1103720</v>
      </c>
      <c r="S169" s="72">
        <f t="shared" si="83"/>
        <v>5217</v>
      </c>
      <c r="T169" s="62">
        <f t="shared" si="86"/>
        <v>5217</v>
      </c>
    </row>
    <row r="170" spans="1:20">
      <c r="A170" s="8"/>
      <c r="B170" s="9"/>
      <c r="C170" s="9"/>
      <c r="D170" s="69"/>
      <c r="E170" s="69">
        <v>122</v>
      </c>
      <c r="F170" s="136" t="s">
        <v>91</v>
      </c>
      <c r="G170" s="26">
        <f>9747-350</f>
        <v>9397</v>
      </c>
      <c r="H170" s="26">
        <v>4745</v>
      </c>
      <c r="I170" s="26">
        <v>4745</v>
      </c>
      <c r="J170" s="105">
        <f t="shared" si="89"/>
        <v>4745</v>
      </c>
      <c r="K170" s="35">
        <f>'1.07. '!M161</f>
        <v>4130</v>
      </c>
      <c r="L170" s="27">
        <v>615</v>
      </c>
      <c r="M170" s="93">
        <f t="shared" si="73"/>
        <v>4745</v>
      </c>
      <c r="N170" s="93">
        <f t="shared" si="74"/>
        <v>0</v>
      </c>
      <c r="O170" s="70">
        <f t="shared" si="90"/>
        <v>100</v>
      </c>
      <c r="P170" s="71">
        <f t="shared" si="81"/>
        <v>0</v>
      </c>
      <c r="Q170" s="35">
        <f t="shared" si="82"/>
        <v>0</v>
      </c>
      <c r="R170" s="72">
        <v>1103721</v>
      </c>
      <c r="S170" s="72">
        <f t="shared" si="83"/>
        <v>4652</v>
      </c>
      <c r="T170" s="62">
        <f t="shared" si="86"/>
        <v>4652</v>
      </c>
    </row>
    <row r="171" spans="1:20">
      <c r="A171" s="8"/>
      <c r="B171" s="9"/>
      <c r="C171" s="9"/>
      <c r="D171" s="69"/>
      <c r="E171" s="69">
        <v>123</v>
      </c>
      <c r="F171" s="136" t="s">
        <v>92</v>
      </c>
      <c r="G171" s="26">
        <v>235</v>
      </c>
      <c r="H171" s="26">
        <v>145</v>
      </c>
      <c r="I171" s="26">
        <v>145</v>
      </c>
      <c r="J171" s="105">
        <f t="shared" si="89"/>
        <v>91.524770000000004</v>
      </c>
      <c r="K171" s="35">
        <f>'1.07. '!M162</f>
        <v>91.524770000000004</v>
      </c>
      <c r="L171" s="27"/>
      <c r="M171" s="93">
        <f t="shared" si="73"/>
        <v>91.524770000000004</v>
      </c>
      <c r="N171" s="93">
        <f t="shared" si="74"/>
        <v>53.475229999999996</v>
      </c>
      <c r="O171" s="70">
        <f t="shared" si="90"/>
        <v>63.120531034482767</v>
      </c>
      <c r="P171" s="71">
        <f t="shared" si="81"/>
        <v>0</v>
      </c>
      <c r="Q171" s="35">
        <f t="shared" si="82"/>
        <v>53.475229999999996</v>
      </c>
      <c r="R171" s="72">
        <v>1103722</v>
      </c>
      <c r="S171" s="72">
        <f t="shared" si="83"/>
        <v>143.47523000000001</v>
      </c>
      <c r="T171" s="62">
        <f t="shared" si="86"/>
        <v>143.47523000000001</v>
      </c>
    </row>
    <row r="172" spans="1:20">
      <c r="A172" s="9"/>
      <c r="B172" s="9"/>
      <c r="C172" s="9"/>
      <c r="D172" s="69"/>
      <c r="E172" s="69">
        <v>124</v>
      </c>
      <c r="F172" s="136" t="s">
        <v>93</v>
      </c>
      <c r="G172" s="26">
        <f>6378-200</f>
        <v>6178</v>
      </c>
      <c r="H172" s="26">
        <v>2970</v>
      </c>
      <c r="I172" s="26">
        <v>2970</v>
      </c>
      <c r="J172" s="105">
        <f t="shared" si="89"/>
        <v>2963.4749999999999</v>
      </c>
      <c r="K172" s="35">
        <f>'1.07. '!M163</f>
        <v>2550</v>
      </c>
      <c r="L172" s="27">
        <v>413.47500000000002</v>
      </c>
      <c r="M172" s="93">
        <f t="shared" si="73"/>
        <v>2963.4749999999999</v>
      </c>
      <c r="N172" s="93">
        <f t="shared" si="74"/>
        <v>6.5250000000000909</v>
      </c>
      <c r="O172" s="70">
        <f t="shared" si="90"/>
        <v>99.780303030303031</v>
      </c>
      <c r="P172" s="71">
        <f t="shared" si="81"/>
        <v>0</v>
      </c>
      <c r="Q172" s="35">
        <f t="shared" si="82"/>
        <v>6.5250000000000909</v>
      </c>
      <c r="R172" s="72">
        <v>1103723</v>
      </c>
      <c r="S172" s="72">
        <f t="shared" si="83"/>
        <v>3214.5250000000001</v>
      </c>
      <c r="T172" s="62">
        <f t="shared" si="86"/>
        <v>3214.5250000000001</v>
      </c>
    </row>
    <row r="173" spans="1:20" s="73" customFormat="1">
      <c r="A173" s="9"/>
      <c r="B173" s="9"/>
      <c r="C173" s="9"/>
      <c r="D173" s="69"/>
      <c r="E173" s="69">
        <v>141</v>
      </c>
      <c r="F173" s="136" t="s">
        <v>116</v>
      </c>
      <c r="G173" s="26">
        <v>20147</v>
      </c>
      <c r="H173" s="26">
        <v>18927.400000000001</v>
      </c>
      <c r="I173" s="26">
        <v>9200</v>
      </c>
      <c r="J173" s="105">
        <v>18927.335200000001</v>
      </c>
      <c r="K173" s="35">
        <f>'1.07. '!M164</f>
        <v>7900</v>
      </c>
      <c r="L173" s="27">
        <v>1300</v>
      </c>
      <c r="M173" s="93">
        <f t="shared" si="73"/>
        <v>9200</v>
      </c>
      <c r="N173" s="93">
        <f t="shared" si="74"/>
        <v>0</v>
      </c>
      <c r="O173" s="70">
        <f t="shared" si="90"/>
        <v>100</v>
      </c>
      <c r="P173" s="71">
        <f t="shared" si="81"/>
        <v>9727.3352000000014</v>
      </c>
      <c r="Q173" s="35">
        <f t="shared" si="82"/>
        <v>6.4800000000104774E-2</v>
      </c>
      <c r="R173" s="72">
        <v>1103724</v>
      </c>
      <c r="S173" s="72">
        <f t="shared" si="83"/>
        <v>10947</v>
      </c>
      <c r="T173" s="62">
        <f t="shared" si="86"/>
        <v>1219.6647999999986</v>
      </c>
    </row>
    <row r="174" spans="1:20" ht="25.5">
      <c r="A174" s="9"/>
      <c r="B174" s="9"/>
      <c r="C174" s="9"/>
      <c r="D174" s="69"/>
      <c r="E174" s="69">
        <v>142</v>
      </c>
      <c r="F174" s="136" t="s">
        <v>122</v>
      </c>
      <c r="G174" s="26">
        <v>2651</v>
      </c>
      <c r="H174" s="26">
        <v>1641.3</v>
      </c>
      <c r="I174" s="26">
        <v>1641.3</v>
      </c>
      <c r="J174" s="105">
        <v>1607.1586</v>
      </c>
      <c r="K174" s="35">
        <f>'1.07. '!M165</f>
        <v>1566.5</v>
      </c>
      <c r="L174" s="27">
        <v>40.6586</v>
      </c>
      <c r="M174" s="93">
        <f t="shared" si="73"/>
        <v>1607.1586</v>
      </c>
      <c r="N174" s="93">
        <f t="shared" si="74"/>
        <v>34.141399999999976</v>
      </c>
      <c r="O174" s="70">
        <f t="shared" si="90"/>
        <v>97.919856211539638</v>
      </c>
      <c r="P174" s="71">
        <f t="shared" si="81"/>
        <v>0</v>
      </c>
      <c r="Q174" s="35">
        <f t="shared" si="82"/>
        <v>34.141399999999976</v>
      </c>
      <c r="R174" s="72">
        <v>1103725</v>
      </c>
      <c r="S174" s="72">
        <f t="shared" si="83"/>
        <v>1043.8414</v>
      </c>
      <c r="T174" s="62">
        <f t="shared" si="86"/>
        <v>1043.8414</v>
      </c>
    </row>
    <row r="175" spans="1:20">
      <c r="A175" s="9"/>
      <c r="B175" s="9"/>
      <c r="C175" s="9"/>
      <c r="D175" s="69"/>
      <c r="E175" s="69">
        <v>144</v>
      </c>
      <c r="F175" s="136" t="s">
        <v>97</v>
      </c>
      <c r="G175" s="26">
        <v>1400</v>
      </c>
      <c r="H175" s="26">
        <v>1400</v>
      </c>
      <c r="I175" s="26">
        <v>1400</v>
      </c>
      <c r="J175" s="105">
        <v>1399.8342700000001</v>
      </c>
      <c r="K175" s="35">
        <f>'1.07. '!M166</f>
        <v>1399.8342700000001</v>
      </c>
      <c r="L175" s="27"/>
      <c r="M175" s="93">
        <f t="shared" si="73"/>
        <v>1399.8342700000001</v>
      </c>
      <c r="N175" s="93">
        <f t="shared" si="74"/>
        <v>0.16572999999993954</v>
      </c>
      <c r="O175" s="70">
        <f t="shared" si="90"/>
        <v>99.988162142857149</v>
      </c>
      <c r="P175" s="71">
        <f t="shared" si="81"/>
        <v>0</v>
      </c>
      <c r="Q175" s="35">
        <f t="shared" si="82"/>
        <v>0.16572999999993954</v>
      </c>
      <c r="R175" s="72">
        <v>1103726</v>
      </c>
      <c r="S175" s="72">
        <f t="shared" si="83"/>
        <v>0.16572999999993954</v>
      </c>
      <c r="T175" s="62">
        <f t="shared" si="86"/>
        <v>0.16572999999993954</v>
      </c>
    </row>
    <row r="176" spans="1:20">
      <c r="A176" s="9"/>
      <c r="B176" s="9"/>
      <c r="C176" s="9"/>
      <c r="D176" s="69"/>
      <c r="E176" s="69">
        <v>149</v>
      </c>
      <c r="F176" s="136" t="s">
        <v>98</v>
      </c>
      <c r="G176" s="26">
        <v>9495</v>
      </c>
      <c r="H176" s="26">
        <v>5516.1</v>
      </c>
      <c r="I176" s="26">
        <v>5516.1</v>
      </c>
      <c r="J176" s="105">
        <v>5353.50756</v>
      </c>
      <c r="K176" s="35">
        <f>'1.07. '!M167</f>
        <v>4324.7708000000002</v>
      </c>
      <c r="L176" s="27">
        <v>1028.73676</v>
      </c>
      <c r="M176" s="93">
        <f t="shared" si="73"/>
        <v>5353.50756</v>
      </c>
      <c r="N176" s="93">
        <f t="shared" si="74"/>
        <v>162.59244000000035</v>
      </c>
      <c r="O176" s="70">
        <f t="shared" si="90"/>
        <v>97.052402240713548</v>
      </c>
      <c r="P176" s="71">
        <f t="shared" si="81"/>
        <v>0</v>
      </c>
      <c r="Q176" s="35">
        <f t="shared" si="82"/>
        <v>162.59244000000035</v>
      </c>
      <c r="R176" s="72">
        <v>1103727</v>
      </c>
      <c r="S176" s="72">
        <f t="shared" si="83"/>
        <v>4141.49244</v>
      </c>
      <c r="T176" s="62">
        <f t="shared" si="86"/>
        <v>4141.49244</v>
      </c>
    </row>
    <row r="177" spans="1:20">
      <c r="A177" s="9"/>
      <c r="B177" s="9"/>
      <c r="C177" s="9"/>
      <c r="D177" s="69"/>
      <c r="E177" s="69">
        <v>151</v>
      </c>
      <c r="F177" s="136" t="s">
        <v>99</v>
      </c>
      <c r="G177" s="26">
        <v>17588</v>
      </c>
      <c r="H177" s="26">
        <v>10400</v>
      </c>
      <c r="I177" s="26">
        <v>10400</v>
      </c>
      <c r="J177" s="105">
        <f t="shared" si="89"/>
        <v>10400</v>
      </c>
      <c r="K177" s="35">
        <f>'1.07. '!M168</f>
        <v>8900</v>
      </c>
      <c r="L177" s="27">
        <v>1500</v>
      </c>
      <c r="M177" s="93">
        <f t="shared" si="73"/>
        <v>10400</v>
      </c>
      <c r="N177" s="93">
        <f t="shared" si="74"/>
        <v>0</v>
      </c>
      <c r="O177" s="70">
        <f t="shared" si="90"/>
        <v>100</v>
      </c>
      <c r="P177" s="71">
        <f t="shared" si="81"/>
        <v>0</v>
      </c>
      <c r="Q177" s="35">
        <f t="shared" si="82"/>
        <v>0</v>
      </c>
      <c r="R177" s="72">
        <v>1103728</v>
      </c>
      <c r="S177" s="72">
        <f t="shared" si="83"/>
        <v>7188</v>
      </c>
      <c r="T177" s="62">
        <f t="shared" si="86"/>
        <v>7188</v>
      </c>
    </row>
    <row r="178" spans="1:20">
      <c r="A178" s="9"/>
      <c r="B178" s="9"/>
      <c r="C178" s="9"/>
      <c r="D178" s="69"/>
      <c r="E178" s="69">
        <v>152</v>
      </c>
      <c r="F178" s="136" t="s">
        <v>100</v>
      </c>
      <c r="G178" s="26">
        <v>1401</v>
      </c>
      <c r="H178" s="26">
        <v>1401</v>
      </c>
      <c r="I178" s="26">
        <v>482.1</v>
      </c>
      <c r="J178" s="105">
        <v>956.68</v>
      </c>
      <c r="K178" s="35">
        <f>'1.07. '!M169</f>
        <v>397.30036000000007</v>
      </c>
      <c r="L178" s="27">
        <v>74.629310000000004</v>
      </c>
      <c r="M178" s="93">
        <f t="shared" si="73"/>
        <v>471.9296700000001</v>
      </c>
      <c r="N178" s="93">
        <f t="shared" si="74"/>
        <v>10.170329999999922</v>
      </c>
      <c r="O178" s="70">
        <f t="shared" si="90"/>
        <v>97.890410703173643</v>
      </c>
      <c r="P178" s="71">
        <f t="shared" si="81"/>
        <v>484.75032999999985</v>
      </c>
      <c r="Q178" s="35">
        <f t="shared" si="82"/>
        <v>444.32000000000005</v>
      </c>
      <c r="R178" s="72">
        <v>1103729</v>
      </c>
      <c r="S178" s="72">
        <f t="shared" si="83"/>
        <v>929.0703299999999</v>
      </c>
      <c r="T178" s="62">
        <f t="shared" si="86"/>
        <v>444.32000000000005</v>
      </c>
    </row>
    <row r="179" spans="1:20">
      <c r="A179" s="9"/>
      <c r="B179" s="9"/>
      <c r="C179" s="9"/>
      <c r="D179" s="69"/>
      <c r="E179" s="69">
        <v>158</v>
      </c>
      <c r="F179" s="136" t="s">
        <v>101</v>
      </c>
      <c r="G179" s="26">
        <f>730+1099.4</f>
        <v>1829.4</v>
      </c>
      <c r="H179" s="26">
        <v>1829.4</v>
      </c>
      <c r="I179" s="26">
        <v>928.2</v>
      </c>
      <c r="J179" s="105">
        <v>1429.1756</v>
      </c>
      <c r="K179" s="35">
        <f>'1.07. '!M170</f>
        <v>711.9</v>
      </c>
      <c r="L179" s="27">
        <v>216.23779999999999</v>
      </c>
      <c r="M179" s="93">
        <f t="shared" si="73"/>
        <v>928.13779999999997</v>
      </c>
      <c r="N179" s="93">
        <f t="shared" si="74"/>
        <v>6.2200000000075306E-2</v>
      </c>
      <c r="O179" s="70">
        <f t="shared" si="90"/>
        <v>99.993298858004735</v>
      </c>
      <c r="P179" s="71">
        <f t="shared" si="81"/>
        <v>501.03780000000006</v>
      </c>
      <c r="Q179" s="35">
        <f t="shared" si="82"/>
        <v>400.22440000000006</v>
      </c>
      <c r="R179" s="72">
        <v>1103730</v>
      </c>
      <c r="S179" s="72">
        <f t="shared" si="83"/>
        <v>901.26220000000012</v>
      </c>
      <c r="T179" s="62">
        <f t="shared" si="86"/>
        <v>400.22440000000006</v>
      </c>
    </row>
    <row r="180" spans="1:20">
      <c r="A180" s="9"/>
      <c r="B180" s="9"/>
      <c r="C180" s="9"/>
      <c r="D180" s="69"/>
      <c r="E180" s="69">
        <v>159</v>
      </c>
      <c r="F180" s="136" t="s">
        <v>84</v>
      </c>
      <c r="G180" s="26">
        <f>6564-1099.4</f>
        <v>5464.6</v>
      </c>
      <c r="H180" s="26">
        <v>3709.9</v>
      </c>
      <c r="I180" s="26">
        <v>1564.9</v>
      </c>
      <c r="J180" s="105">
        <v>3609.8258599999999</v>
      </c>
      <c r="K180" s="35">
        <f>'1.07. '!M171</f>
        <v>1250.9000000000001</v>
      </c>
      <c r="L180" s="27">
        <f>314-100</f>
        <v>214</v>
      </c>
      <c r="M180" s="93">
        <f t="shared" si="73"/>
        <v>1464.9</v>
      </c>
      <c r="N180" s="93">
        <f t="shared" si="74"/>
        <v>100</v>
      </c>
      <c r="O180" s="70">
        <f t="shared" si="90"/>
        <v>93.609815323662858</v>
      </c>
      <c r="P180" s="71">
        <f t="shared" si="81"/>
        <v>2144.9258599999998</v>
      </c>
      <c r="Q180" s="35">
        <f t="shared" si="82"/>
        <v>100.07414000000017</v>
      </c>
      <c r="R180" s="72">
        <v>1103731</v>
      </c>
      <c r="S180" s="72">
        <f t="shared" si="83"/>
        <v>3999.7000000000003</v>
      </c>
      <c r="T180" s="62">
        <f t="shared" si="86"/>
        <v>1854.7741400000004</v>
      </c>
    </row>
    <row r="181" spans="1:20">
      <c r="A181" s="9"/>
      <c r="B181" s="9"/>
      <c r="C181" s="9"/>
      <c r="D181" s="69"/>
      <c r="E181" s="69">
        <v>161</v>
      </c>
      <c r="F181" s="136" t="s">
        <v>102</v>
      </c>
      <c r="G181" s="26">
        <v>816</v>
      </c>
      <c r="H181" s="26">
        <v>443.2</v>
      </c>
      <c r="I181" s="26">
        <v>443.2</v>
      </c>
      <c r="J181" s="105">
        <f t="shared" ref="J181:J183" si="91">M181</f>
        <v>443.15800000000002</v>
      </c>
      <c r="K181" s="35">
        <f>'1.07. '!M172</f>
        <v>443.15800000000002</v>
      </c>
      <c r="L181" s="27"/>
      <c r="M181" s="93">
        <f t="shared" si="73"/>
        <v>443.15800000000002</v>
      </c>
      <c r="N181" s="93">
        <f t="shared" si="74"/>
        <v>4.199999999997317E-2</v>
      </c>
      <c r="O181" s="70">
        <f t="shared" si="90"/>
        <v>99.990523465703973</v>
      </c>
      <c r="P181" s="71">
        <f t="shared" si="81"/>
        <v>0</v>
      </c>
      <c r="Q181" s="35">
        <f t="shared" si="82"/>
        <v>4.199999999997317E-2</v>
      </c>
      <c r="R181" s="72">
        <v>1103732</v>
      </c>
      <c r="S181" s="72">
        <f t="shared" si="83"/>
        <v>372.84199999999998</v>
      </c>
      <c r="T181" s="62">
        <f t="shared" si="86"/>
        <v>372.84199999999998</v>
      </c>
    </row>
    <row r="182" spans="1:20">
      <c r="A182" s="9"/>
      <c r="B182" s="9"/>
      <c r="C182" s="9"/>
      <c r="D182" s="69"/>
      <c r="E182" s="69">
        <v>168</v>
      </c>
      <c r="F182" s="136" t="s">
        <v>167</v>
      </c>
      <c r="G182" s="26">
        <v>20</v>
      </c>
      <c r="H182" s="26">
        <v>10</v>
      </c>
      <c r="I182" s="26">
        <v>10</v>
      </c>
      <c r="J182" s="105">
        <f t="shared" si="91"/>
        <v>10</v>
      </c>
      <c r="K182" s="35">
        <f>'1.07. '!M173</f>
        <v>10</v>
      </c>
      <c r="L182" s="27"/>
      <c r="M182" s="93">
        <f t="shared" si="73"/>
        <v>10</v>
      </c>
      <c r="N182" s="93">
        <f t="shared" si="74"/>
        <v>0</v>
      </c>
      <c r="O182" s="70">
        <f t="shared" si="90"/>
        <v>100</v>
      </c>
      <c r="P182" s="71">
        <f t="shared" si="81"/>
        <v>0</v>
      </c>
      <c r="Q182" s="35">
        <f t="shared" si="82"/>
        <v>0</v>
      </c>
      <c r="R182" s="72">
        <v>1103733</v>
      </c>
      <c r="S182" s="72">
        <f t="shared" si="83"/>
        <v>10</v>
      </c>
    </row>
    <row r="183" spans="1:20">
      <c r="A183" s="9"/>
      <c r="B183" s="9"/>
      <c r="C183" s="9"/>
      <c r="D183" s="69"/>
      <c r="E183" s="69">
        <v>169</v>
      </c>
      <c r="F183" s="136" t="s">
        <v>103</v>
      </c>
      <c r="G183" s="26">
        <f>20-20</f>
        <v>0</v>
      </c>
      <c r="H183" s="26"/>
      <c r="I183" s="26"/>
      <c r="J183" s="105">
        <f t="shared" si="91"/>
        <v>0</v>
      </c>
      <c r="K183" s="35">
        <f>'1.07. '!M174</f>
        <v>0</v>
      </c>
      <c r="L183" s="27"/>
      <c r="M183" s="93">
        <f>K183+L183</f>
        <v>0</v>
      </c>
      <c r="N183" s="93">
        <f t="shared" si="74"/>
        <v>0</v>
      </c>
      <c r="O183" s="70" t="e">
        <f t="shared" si="90"/>
        <v>#DIV/0!</v>
      </c>
      <c r="P183" s="71">
        <f t="shared" si="81"/>
        <v>0</v>
      </c>
      <c r="Q183" s="35">
        <f t="shared" si="82"/>
        <v>0</v>
      </c>
      <c r="R183" s="72">
        <v>1103733</v>
      </c>
      <c r="S183" s="72">
        <f t="shared" si="83"/>
        <v>0</v>
      </c>
      <c r="T183" s="62">
        <f t="shared" si="86"/>
        <v>0</v>
      </c>
    </row>
    <row r="184" spans="1:20" ht="25.5">
      <c r="A184" s="100"/>
      <c r="B184" s="15"/>
      <c r="C184" s="57" t="s">
        <v>43</v>
      </c>
      <c r="D184" s="16"/>
      <c r="E184" s="20"/>
      <c r="F184" s="139" t="s">
        <v>119</v>
      </c>
      <c r="G184" s="59">
        <f t="shared" ref="G184:N184" si="92">G185</f>
        <v>18655</v>
      </c>
      <c r="H184" s="59">
        <f t="shared" si="92"/>
        <v>0</v>
      </c>
      <c r="I184" s="59">
        <f t="shared" si="92"/>
        <v>0</v>
      </c>
      <c r="J184" s="29">
        <f t="shared" si="92"/>
        <v>0</v>
      </c>
      <c r="K184" s="35">
        <f>'1.02.'!M163</f>
        <v>0</v>
      </c>
      <c r="L184" s="59">
        <f t="shared" si="92"/>
        <v>0</v>
      </c>
      <c r="M184" s="29">
        <f t="shared" si="92"/>
        <v>0</v>
      </c>
      <c r="N184" s="29">
        <f t="shared" si="92"/>
        <v>0</v>
      </c>
      <c r="O184" s="70"/>
      <c r="P184" s="71">
        <f t="shared" si="81"/>
        <v>0</v>
      </c>
      <c r="Q184" s="35">
        <f t="shared" si="82"/>
        <v>0</v>
      </c>
      <c r="R184" s="72">
        <v>1103734</v>
      </c>
      <c r="S184" s="72">
        <f t="shared" si="83"/>
        <v>18655</v>
      </c>
    </row>
    <row r="185" spans="1:20">
      <c r="A185" s="9"/>
      <c r="B185" s="12"/>
      <c r="C185" s="12"/>
      <c r="D185" s="11" t="s">
        <v>7</v>
      </c>
      <c r="E185" s="97"/>
      <c r="F185" s="122" t="s">
        <v>85</v>
      </c>
      <c r="G185" s="98">
        <f>G186+G187+G188</f>
        <v>18655</v>
      </c>
      <c r="H185" s="98">
        <f t="shared" ref="H185:M185" si="93">H186+H187+H188</f>
        <v>0</v>
      </c>
      <c r="I185" s="98">
        <f t="shared" si="93"/>
        <v>0</v>
      </c>
      <c r="J185" s="32">
        <f t="shared" si="93"/>
        <v>0</v>
      </c>
      <c r="K185" s="35">
        <f>'1.02.'!M164</f>
        <v>0</v>
      </c>
      <c r="L185" s="98">
        <f t="shared" si="93"/>
        <v>0</v>
      </c>
      <c r="M185" s="32">
        <f t="shared" si="93"/>
        <v>0</v>
      </c>
      <c r="N185" s="32">
        <f>N186+N187+N188</f>
        <v>0</v>
      </c>
      <c r="O185" s="68" t="e">
        <f>M185/I185*100</f>
        <v>#DIV/0!</v>
      </c>
      <c r="P185" s="71">
        <f t="shared" si="81"/>
        <v>0</v>
      </c>
      <c r="Q185" s="35">
        <f t="shared" si="82"/>
        <v>0</v>
      </c>
      <c r="R185" s="72">
        <v>1103735</v>
      </c>
      <c r="S185" s="72">
        <f t="shared" si="83"/>
        <v>18655</v>
      </c>
      <c r="T185" s="62">
        <f>G185-J185</f>
        <v>18655</v>
      </c>
    </row>
    <row r="186" spans="1:20" hidden="1">
      <c r="A186" s="9"/>
      <c r="B186" s="13"/>
      <c r="C186" s="13"/>
      <c r="D186" s="14"/>
      <c r="E186" s="20">
        <v>413</v>
      </c>
      <c r="F186" s="106" t="s">
        <v>56</v>
      </c>
      <c r="G186" s="34"/>
      <c r="H186" s="34"/>
      <c r="I186" s="34"/>
      <c r="J186" s="107">
        <f>M186</f>
        <v>0</v>
      </c>
      <c r="K186" s="35">
        <f>'1.02.'!M165</f>
        <v>0</v>
      </c>
      <c r="L186" s="34"/>
      <c r="M186" s="93">
        <f t="shared" ref="M186:M188" si="94">K186+L186</f>
        <v>0</v>
      </c>
      <c r="N186" s="93">
        <f t="shared" ref="N186:N188" si="95">I186-M186</f>
        <v>0</v>
      </c>
      <c r="O186" s="70"/>
      <c r="P186" s="71">
        <f t="shared" si="81"/>
        <v>0</v>
      </c>
      <c r="Q186" s="35">
        <f t="shared" si="82"/>
        <v>0</v>
      </c>
      <c r="R186" s="72">
        <v>1103736</v>
      </c>
      <c r="S186" s="72">
        <f t="shared" si="83"/>
        <v>0</v>
      </c>
    </row>
    <row r="187" spans="1:20" ht="25.5">
      <c r="A187" s="9"/>
      <c r="B187" s="13"/>
      <c r="C187" s="13"/>
      <c r="D187" s="14"/>
      <c r="E187" s="20">
        <v>414</v>
      </c>
      <c r="F187" s="50" t="s">
        <v>105</v>
      </c>
      <c r="G187" s="37">
        <v>18655</v>
      </c>
      <c r="H187" s="37"/>
      <c r="I187" s="37"/>
      <c r="J187" s="107">
        <f t="shared" ref="J187:J188" si="96">M187</f>
        <v>0</v>
      </c>
      <c r="K187" s="35">
        <f>'1.02.'!M166</f>
        <v>0</v>
      </c>
      <c r="L187" s="37"/>
      <c r="M187" s="93">
        <f t="shared" si="94"/>
        <v>0</v>
      </c>
      <c r="N187" s="93">
        <f t="shared" si="95"/>
        <v>0</v>
      </c>
      <c r="O187" s="70"/>
      <c r="P187" s="71">
        <f t="shared" si="81"/>
        <v>0</v>
      </c>
      <c r="Q187" s="35">
        <f t="shared" si="82"/>
        <v>0</v>
      </c>
      <c r="R187" s="72">
        <v>1103737</v>
      </c>
      <c r="S187" s="72">
        <f t="shared" si="83"/>
        <v>18655</v>
      </c>
    </row>
    <row r="188" spans="1:20" ht="25.5" hidden="1">
      <c r="A188" s="100"/>
      <c r="B188" s="15"/>
      <c r="C188" s="15"/>
      <c r="D188" s="16"/>
      <c r="E188" s="20">
        <v>421</v>
      </c>
      <c r="F188" s="3" t="s">
        <v>60</v>
      </c>
      <c r="G188" s="37"/>
      <c r="H188" s="37"/>
      <c r="I188" s="37"/>
      <c r="J188" s="107">
        <f t="shared" si="96"/>
        <v>0</v>
      </c>
      <c r="K188" s="35">
        <f>'1.02.'!M167</f>
        <v>0</v>
      </c>
      <c r="L188" s="35"/>
      <c r="M188" s="93">
        <f t="shared" si="94"/>
        <v>0</v>
      </c>
      <c r="N188" s="93">
        <f t="shared" si="95"/>
        <v>0</v>
      </c>
      <c r="O188" s="70" t="e">
        <f t="shared" ref="O188" si="97">M188/I188*100</f>
        <v>#DIV/0!</v>
      </c>
      <c r="P188" s="71">
        <f t="shared" si="81"/>
        <v>0</v>
      </c>
      <c r="Q188" s="35">
        <f t="shared" si="82"/>
        <v>0</v>
      </c>
      <c r="R188" s="72">
        <v>1103738</v>
      </c>
      <c r="S188" s="72">
        <f t="shared" si="83"/>
        <v>0</v>
      </c>
    </row>
    <row r="189" spans="1:20" s="95" customFormat="1" ht="13.5">
      <c r="A189" s="8"/>
      <c r="B189" s="57">
        <v>1265</v>
      </c>
      <c r="C189" s="12"/>
      <c r="D189" s="11"/>
      <c r="E189" s="18"/>
      <c r="F189" s="139" t="s">
        <v>123</v>
      </c>
      <c r="G189" s="42">
        <f>G190+G211</f>
        <v>1459865</v>
      </c>
      <c r="H189" s="42">
        <f t="shared" ref="H189:N189" si="98">H190+H211</f>
        <v>961537</v>
      </c>
      <c r="I189" s="42">
        <f t="shared" si="98"/>
        <v>821142</v>
      </c>
      <c r="J189" s="29">
        <f t="shared" si="98"/>
        <v>959617.08926999976</v>
      </c>
      <c r="K189" s="29">
        <f t="shared" si="98"/>
        <v>330350.27847999998</v>
      </c>
      <c r="L189" s="29">
        <f t="shared" si="98"/>
        <v>81067.673809999978</v>
      </c>
      <c r="M189" s="29">
        <f t="shared" si="98"/>
        <v>787144.35029999993</v>
      </c>
      <c r="N189" s="29">
        <f t="shared" si="98"/>
        <v>33997.649700000031</v>
      </c>
      <c r="O189" s="68">
        <f t="shared" si="90"/>
        <v>95.859711267965835</v>
      </c>
      <c r="P189" s="35">
        <f t="shared" si="81"/>
        <v>172472.73896999983</v>
      </c>
      <c r="Q189" s="35">
        <f t="shared" si="82"/>
        <v>1919.9107300002361</v>
      </c>
      <c r="R189" s="72">
        <v>1103739</v>
      </c>
      <c r="S189" s="72">
        <f t="shared" si="83"/>
        <v>672720.64970000007</v>
      </c>
      <c r="T189" s="62">
        <f t="shared" si="86"/>
        <v>500247.91073000024</v>
      </c>
    </row>
    <row r="190" spans="1:20" ht="63.75">
      <c r="A190" s="8"/>
      <c r="B190" s="12"/>
      <c r="C190" s="12" t="s">
        <v>23</v>
      </c>
      <c r="D190" s="11"/>
      <c r="E190" s="18"/>
      <c r="F190" s="139" t="s">
        <v>124</v>
      </c>
      <c r="G190" s="42">
        <f>G191</f>
        <v>1027596</v>
      </c>
      <c r="H190" s="42">
        <f t="shared" ref="H190:N190" si="99">H191</f>
        <v>610608</v>
      </c>
      <c r="I190" s="42">
        <f t="shared" si="99"/>
        <v>506300</v>
      </c>
      <c r="J190" s="60">
        <f t="shared" si="99"/>
        <v>608688.08926999976</v>
      </c>
      <c r="K190" s="29">
        <f>'1.02.'!M169</f>
        <v>48654.000999999997</v>
      </c>
      <c r="L190" s="29">
        <f t="shared" si="99"/>
        <v>81067.673809999978</v>
      </c>
      <c r="M190" s="29">
        <f t="shared" si="99"/>
        <v>505448.07281999994</v>
      </c>
      <c r="N190" s="29">
        <f t="shared" si="99"/>
        <v>851.9271800000181</v>
      </c>
      <c r="O190" s="66">
        <f t="shared" si="90"/>
        <v>99.831734706695613</v>
      </c>
      <c r="P190" s="71">
        <f t="shared" si="81"/>
        <v>103240.01644999982</v>
      </c>
      <c r="Q190" s="35">
        <f t="shared" si="82"/>
        <v>1919.9107300002361</v>
      </c>
      <c r="R190" s="72">
        <v>1103740</v>
      </c>
      <c r="S190" s="72">
        <f t="shared" si="83"/>
        <v>522147.92718000006</v>
      </c>
      <c r="T190" s="62">
        <f t="shared" si="86"/>
        <v>418907.91073000024</v>
      </c>
    </row>
    <row r="191" spans="1:20">
      <c r="A191" s="9"/>
      <c r="B191" s="12"/>
      <c r="C191" s="12"/>
      <c r="D191" s="11" t="s">
        <v>7</v>
      </c>
      <c r="E191" s="97"/>
      <c r="F191" s="140" t="s">
        <v>85</v>
      </c>
      <c r="G191" s="98">
        <f t="shared" ref="G191:I191" si="100">SUM(G192:G210)</f>
        <v>1027596</v>
      </c>
      <c r="H191" s="98">
        <f t="shared" si="100"/>
        <v>610608</v>
      </c>
      <c r="I191" s="98">
        <f t="shared" si="100"/>
        <v>506300</v>
      </c>
      <c r="J191" s="32">
        <f>SUM(J192:J210)</f>
        <v>608688.08926999976</v>
      </c>
      <c r="K191" s="32">
        <f>SUM(K192:K210)</f>
        <v>424380.39900999994</v>
      </c>
      <c r="L191" s="32">
        <f t="shared" ref="L191:N191" si="101">SUM(L192:L210)</f>
        <v>81067.673809999978</v>
      </c>
      <c r="M191" s="32">
        <f t="shared" si="101"/>
        <v>505448.07281999994</v>
      </c>
      <c r="N191" s="32">
        <f t="shared" si="101"/>
        <v>851.9271800000181</v>
      </c>
      <c r="O191" s="68">
        <f t="shared" si="90"/>
        <v>99.831734706695613</v>
      </c>
      <c r="P191" s="71">
        <f t="shared" si="81"/>
        <v>103240.01644999982</v>
      </c>
      <c r="Q191" s="35">
        <f t="shared" si="82"/>
        <v>1919.9107300002361</v>
      </c>
      <c r="R191" s="72">
        <v>1103741</v>
      </c>
      <c r="S191" s="72">
        <f t="shared" si="83"/>
        <v>522147.92718000006</v>
      </c>
      <c r="T191" s="62">
        <f t="shared" si="86"/>
        <v>418907.91073000024</v>
      </c>
    </row>
    <row r="192" spans="1:20">
      <c r="A192" s="9"/>
      <c r="B192" s="13"/>
      <c r="C192" s="13"/>
      <c r="D192" s="14"/>
      <c r="E192" s="20">
        <v>111</v>
      </c>
      <c r="F192" s="136" t="s">
        <v>86</v>
      </c>
      <c r="G192" s="37">
        <f>618499-385</f>
        <v>618114</v>
      </c>
      <c r="H192" s="37">
        <v>342615</v>
      </c>
      <c r="I192" s="37">
        <v>342615</v>
      </c>
      <c r="J192" s="75">
        <f>M192</f>
        <v>342600.52792999998</v>
      </c>
      <c r="K192" s="35">
        <f>'1.07. '!M183</f>
        <v>292614.99099999998</v>
      </c>
      <c r="L192" s="35">
        <v>49985.536930000002</v>
      </c>
      <c r="M192" s="93">
        <f>K192+L192</f>
        <v>342600.52792999998</v>
      </c>
      <c r="N192" s="93">
        <f>I192-M192</f>
        <v>14.472070000017993</v>
      </c>
      <c r="O192" s="70">
        <f t="shared" si="90"/>
        <v>99.995775996380772</v>
      </c>
      <c r="P192" s="71">
        <f t="shared" si="81"/>
        <v>0</v>
      </c>
      <c r="Q192" s="35">
        <f t="shared" si="82"/>
        <v>14.472070000017993</v>
      </c>
      <c r="R192" s="72">
        <v>1103742</v>
      </c>
      <c r="S192" s="72">
        <f t="shared" si="83"/>
        <v>275513.47207000002</v>
      </c>
      <c r="T192" s="62">
        <f t="shared" si="86"/>
        <v>275513.47207000002</v>
      </c>
    </row>
    <row r="193" spans="1:20">
      <c r="A193" s="9"/>
      <c r="B193" s="13"/>
      <c r="C193" s="13"/>
      <c r="D193" s="14"/>
      <c r="E193" s="69">
        <v>112</v>
      </c>
      <c r="F193" s="136" t="s">
        <v>87</v>
      </c>
      <c r="G193" s="37">
        <f>308+308</f>
        <v>616</v>
      </c>
      <c r="H193" s="37">
        <v>616</v>
      </c>
      <c r="I193" s="37">
        <v>616</v>
      </c>
      <c r="J193" s="75">
        <f t="shared" ref="J193:J199" si="102">M193</f>
        <v>613.95100000000002</v>
      </c>
      <c r="K193" s="35">
        <f>'1.07. '!M184</f>
        <v>307.48599999999999</v>
      </c>
      <c r="L193" s="35">
        <v>306.46499999999997</v>
      </c>
      <c r="M193" s="93">
        <f>K193+L193</f>
        <v>613.95100000000002</v>
      </c>
      <c r="N193" s="93">
        <f t="shared" ref="N193:N194" si="103">I193-M193</f>
        <v>2.0489999999999782</v>
      </c>
      <c r="O193" s="70">
        <f t="shared" si="90"/>
        <v>99.667370129870136</v>
      </c>
      <c r="P193" s="71">
        <f t="shared" si="81"/>
        <v>0</v>
      </c>
      <c r="Q193" s="35">
        <f t="shared" si="82"/>
        <v>2.0489999999999782</v>
      </c>
      <c r="R193" s="72">
        <v>1103743</v>
      </c>
      <c r="S193" s="72">
        <f t="shared" si="83"/>
        <v>2.0489999999999782</v>
      </c>
    </row>
    <row r="194" spans="1:20">
      <c r="A194" s="9"/>
      <c r="B194" s="15"/>
      <c r="C194" s="15"/>
      <c r="D194" s="16"/>
      <c r="E194" s="20">
        <v>113</v>
      </c>
      <c r="F194" s="136" t="s">
        <v>88</v>
      </c>
      <c r="G194" s="37">
        <f>19771-308</f>
        <v>19463</v>
      </c>
      <c r="H194" s="37">
        <v>8170</v>
      </c>
      <c r="I194" s="37">
        <v>8170</v>
      </c>
      <c r="J194" s="75">
        <f t="shared" si="102"/>
        <v>8170</v>
      </c>
      <c r="K194" s="35">
        <f>'1.07. '!M185</f>
        <v>6824</v>
      </c>
      <c r="L194" s="35">
        <v>1346</v>
      </c>
      <c r="M194" s="93">
        <f t="shared" si="73"/>
        <v>8170</v>
      </c>
      <c r="N194" s="93">
        <f t="shared" si="103"/>
        <v>0</v>
      </c>
      <c r="O194" s="70">
        <f t="shared" si="90"/>
        <v>100</v>
      </c>
      <c r="P194" s="71">
        <f t="shared" si="81"/>
        <v>0</v>
      </c>
      <c r="Q194" s="35">
        <f t="shared" si="82"/>
        <v>0</v>
      </c>
      <c r="R194" s="72">
        <v>1103744</v>
      </c>
      <c r="S194" s="72">
        <f t="shared" si="83"/>
        <v>11293</v>
      </c>
      <c r="T194" s="62">
        <f t="shared" si="86"/>
        <v>11293</v>
      </c>
    </row>
    <row r="195" spans="1:20">
      <c r="A195" s="9"/>
      <c r="B195" s="15"/>
      <c r="C195" s="15"/>
      <c r="D195" s="16"/>
      <c r="E195" s="69">
        <v>116</v>
      </c>
      <c r="F195" s="136" t="s">
        <v>89</v>
      </c>
      <c r="G195" s="37">
        <f>10353+100</f>
        <v>10453</v>
      </c>
      <c r="H195" s="37">
        <v>6620</v>
      </c>
      <c r="I195" s="37">
        <v>6620</v>
      </c>
      <c r="J195" s="75">
        <f t="shared" si="102"/>
        <v>6617.9529999999995</v>
      </c>
      <c r="K195" s="35">
        <f>'1.07. '!M186</f>
        <v>5659.8289999999997</v>
      </c>
      <c r="L195" s="35">
        <v>958.12400000000002</v>
      </c>
      <c r="M195" s="93">
        <f>K195+L195</f>
        <v>6617.9529999999995</v>
      </c>
      <c r="N195" s="93">
        <f>I195-M195</f>
        <v>2.0470000000004802</v>
      </c>
      <c r="O195" s="70">
        <f>M195/I195*100</f>
        <v>99.96907854984893</v>
      </c>
      <c r="P195" s="71">
        <f t="shared" si="81"/>
        <v>0</v>
      </c>
      <c r="Q195" s="35">
        <f t="shared" si="82"/>
        <v>2.0470000000004802</v>
      </c>
      <c r="R195" s="72">
        <v>1103745</v>
      </c>
      <c r="S195" s="72">
        <f t="shared" si="83"/>
        <v>3835.0470000000005</v>
      </c>
    </row>
    <row r="196" spans="1:20">
      <c r="A196" s="9"/>
      <c r="B196" s="15"/>
      <c r="C196" s="15"/>
      <c r="D196" s="16"/>
      <c r="E196" s="20">
        <v>121</v>
      </c>
      <c r="F196" s="136" t="s">
        <v>90</v>
      </c>
      <c r="G196" s="37">
        <f>32039+200+200+300</f>
        <v>32739</v>
      </c>
      <c r="H196" s="37">
        <v>19100</v>
      </c>
      <c r="I196" s="37">
        <v>19100</v>
      </c>
      <c r="J196" s="75">
        <f t="shared" si="102"/>
        <v>19100</v>
      </c>
      <c r="K196" s="35">
        <f>'1.07. '!M187</f>
        <v>16100</v>
      </c>
      <c r="L196" s="35">
        <v>3000</v>
      </c>
      <c r="M196" s="93">
        <f>K196+L196</f>
        <v>19100</v>
      </c>
      <c r="N196" s="93">
        <f>I196-M196</f>
        <v>0</v>
      </c>
      <c r="O196" s="70">
        <f>M196/I196*100</f>
        <v>100</v>
      </c>
      <c r="P196" s="71">
        <f t="shared" si="81"/>
        <v>0</v>
      </c>
      <c r="Q196" s="35">
        <f t="shared" si="82"/>
        <v>0</v>
      </c>
      <c r="R196" s="72">
        <v>1103746</v>
      </c>
      <c r="S196" s="72">
        <f t="shared" si="83"/>
        <v>13639</v>
      </c>
      <c r="T196" s="62">
        <f t="shared" si="86"/>
        <v>13639</v>
      </c>
    </row>
    <row r="197" spans="1:20">
      <c r="A197" s="9"/>
      <c r="B197" s="15"/>
      <c r="C197" s="15"/>
      <c r="D197" s="16"/>
      <c r="E197" s="20">
        <v>122</v>
      </c>
      <c r="F197" s="136" t="s">
        <v>91</v>
      </c>
      <c r="G197" s="37">
        <f>27832-200-200-400</f>
        <v>27032</v>
      </c>
      <c r="H197" s="37">
        <v>14320</v>
      </c>
      <c r="I197" s="37">
        <v>14320</v>
      </c>
      <c r="J197" s="75">
        <f t="shared" si="102"/>
        <v>14125.288</v>
      </c>
      <c r="K197" s="35">
        <f>'1.07. '!M188</f>
        <v>12320</v>
      </c>
      <c r="L197" s="35">
        <v>1805.288</v>
      </c>
      <c r="M197" s="93">
        <f t="shared" si="73"/>
        <v>14125.288</v>
      </c>
      <c r="N197" s="93">
        <f t="shared" si="74"/>
        <v>194.71199999999953</v>
      </c>
      <c r="O197" s="70">
        <f t="shared" si="90"/>
        <v>98.640279329608944</v>
      </c>
      <c r="P197" s="71">
        <f t="shared" si="81"/>
        <v>0</v>
      </c>
      <c r="Q197" s="35">
        <f t="shared" si="82"/>
        <v>194.71199999999953</v>
      </c>
      <c r="R197" s="72">
        <v>1103747</v>
      </c>
      <c r="S197" s="72">
        <f t="shared" si="83"/>
        <v>12906.712</v>
      </c>
      <c r="T197" s="62">
        <f t="shared" si="86"/>
        <v>12906.712</v>
      </c>
    </row>
    <row r="198" spans="1:20">
      <c r="A198" s="9"/>
      <c r="B198" s="15"/>
      <c r="C198" s="15"/>
      <c r="D198" s="16"/>
      <c r="E198" s="20">
        <v>123</v>
      </c>
      <c r="F198" s="136" t="s">
        <v>92</v>
      </c>
      <c r="G198" s="37">
        <f>168+34</f>
        <v>202</v>
      </c>
      <c r="H198" s="37">
        <v>202</v>
      </c>
      <c r="I198" s="37">
        <v>202</v>
      </c>
      <c r="J198" s="75">
        <f t="shared" si="102"/>
        <v>201.94200000000001</v>
      </c>
      <c r="K198" s="35">
        <f>'1.07. '!M189</f>
        <v>201.94200000000001</v>
      </c>
      <c r="L198" s="35"/>
      <c r="M198" s="93">
        <f t="shared" si="73"/>
        <v>201.94200000000001</v>
      </c>
      <c r="N198" s="93">
        <f t="shared" si="74"/>
        <v>5.7999999999992724E-2</v>
      </c>
      <c r="O198" s="70">
        <f t="shared" si="90"/>
        <v>99.971287128712873</v>
      </c>
      <c r="P198" s="71">
        <f t="shared" si="81"/>
        <v>0</v>
      </c>
      <c r="Q198" s="35">
        <f t="shared" si="82"/>
        <v>5.7999999999992724E-2</v>
      </c>
      <c r="R198" s="72">
        <v>1103748</v>
      </c>
      <c r="S198" s="72">
        <f t="shared" si="83"/>
        <v>5.7999999999992724E-2</v>
      </c>
      <c r="T198" s="62">
        <f t="shared" si="86"/>
        <v>5.7999999999992724E-2</v>
      </c>
    </row>
    <row r="199" spans="1:20">
      <c r="A199" s="9"/>
      <c r="B199" s="15"/>
      <c r="C199" s="15"/>
      <c r="D199" s="16"/>
      <c r="E199" s="20">
        <v>124</v>
      </c>
      <c r="F199" s="136" t="s">
        <v>93</v>
      </c>
      <c r="G199" s="37">
        <f>15607-58-326</f>
        <v>15223</v>
      </c>
      <c r="H199" s="37">
        <v>7924</v>
      </c>
      <c r="I199" s="37">
        <v>7924</v>
      </c>
      <c r="J199" s="75">
        <f t="shared" si="102"/>
        <v>7867.6869999999999</v>
      </c>
      <c r="K199" s="35">
        <f>'1.07. '!M190</f>
        <v>6718.46</v>
      </c>
      <c r="L199" s="35">
        <v>1149.2270000000001</v>
      </c>
      <c r="M199" s="93">
        <f t="shared" si="73"/>
        <v>7867.6869999999999</v>
      </c>
      <c r="N199" s="93">
        <f t="shared" si="74"/>
        <v>56.313000000000102</v>
      </c>
      <c r="O199" s="70">
        <f t="shared" si="90"/>
        <v>99.289336193841493</v>
      </c>
      <c r="P199" s="71">
        <f t="shared" si="81"/>
        <v>0</v>
      </c>
      <c r="Q199" s="35">
        <f t="shared" si="82"/>
        <v>56.313000000000102</v>
      </c>
      <c r="R199" s="72">
        <v>1103749</v>
      </c>
      <c r="S199" s="72">
        <f t="shared" si="83"/>
        <v>7355.3130000000001</v>
      </c>
      <c r="T199" s="62">
        <f t="shared" si="86"/>
        <v>7355.3130000000001</v>
      </c>
    </row>
    <row r="200" spans="1:20" s="73" customFormat="1">
      <c r="A200" s="9"/>
      <c r="B200" s="15"/>
      <c r="C200" s="15"/>
      <c r="D200" s="16"/>
      <c r="E200" s="20">
        <v>141</v>
      </c>
      <c r="F200" s="136" t="s">
        <v>116</v>
      </c>
      <c r="G200" s="37">
        <f>170896-249-5095+30531</f>
        <v>196083</v>
      </c>
      <c r="H200" s="37">
        <v>165552</v>
      </c>
      <c r="I200" s="37">
        <v>67751</v>
      </c>
      <c r="J200" s="75">
        <v>165551.82058999999</v>
      </c>
      <c r="K200" s="35">
        <f>'1.07. '!M191</f>
        <v>52751</v>
      </c>
      <c r="L200" s="35">
        <v>15000</v>
      </c>
      <c r="M200" s="93">
        <f t="shared" si="73"/>
        <v>67751</v>
      </c>
      <c r="N200" s="93">
        <f t="shared" si="74"/>
        <v>0</v>
      </c>
      <c r="O200" s="70">
        <f t="shared" si="90"/>
        <v>100</v>
      </c>
      <c r="P200" s="71">
        <f t="shared" si="81"/>
        <v>97800.820589999988</v>
      </c>
      <c r="Q200" s="35">
        <f t="shared" si="82"/>
        <v>0.17941000001155771</v>
      </c>
      <c r="R200" s="72">
        <v>1103750</v>
      </c>
      <c r="S200" s="72">
        <f t="shared" si="83"/>
        <v>128332</v>
      </c>
      <c r="T200" s="62">
        <f t="shared" si="86"/>
        <v>30531.179410000012</v>
      </c>
    </row>
    <row r="201" spans="1:20" s="73" customFormat="1" ht="25.5">
      <c r="A201" s="9"/>
      <c r="B201" s="15"/>
      <c r="C201" s="15"/>
      <c r="D201" s="16"/>
      <c r="E201" s="20">
        <v>142</v>
      </c>
      <c r="F201" s="136" t="s">
        <v>122</v>
      </c>
      <c r="G201" s="37">
        <f>5095+45698</f>
        <v>50793</v>
      </c>
      <c r="H201" s="37">
        <v>5095</v>
      </c>
      <c r="I201" s="37">
        <v>3613</v>
      </c>
      <c r="J201" s="75">
        <v>4364.84969</v>
      </c>
      <c r="K201" s="35">
        <f>'1.07. '!M192</f>
        <v>981.18299999999999</v>
      </c>
      <c r="L201" s="35">
        <v>2546.5987500000001</v>
      </c>
      <c r="M201" s="93">
        <f t="shared" si="73"/>
        <v>3527.7817500000001</v>
      </c>
      <c r="N201" s="93">
        <f t="shared" si="74"/>
        <v>85.218249999999898</v>
      </c>
      <c r="O201" s="70">
        <f t="shared" si="90"/>
        <v>97.641343758649327</v>
      </c>
      <c r="P201" s="71">
        <f t="shared" si="81"/>
        <v>837.06793999999991</v>
      </c>
      <c r="Q201" s="35">
        <f t="shared" si="82"/>
        <v>730.15030999999999</v>
      </c>
      <c r="R201" s="72">
        <v>1103751</v>
      </c>
      <c r="S201" s="72">
        <f t="shared" si="83"/>
        <v>47265.218249999998</v>
      </c>
      <c r="T201" s="62"/>
    </row>
    <row r="202" spans="1:20">
      <c r="A202" s="9"/>
      <c r="B202" s="15"/>
      <c r="C202" s="15"/>
      <c r="D202" s="16"/>
      <c r="E202" s="20">
        <v>144</v>
      </c>
      <c r="F202" s="136" t="s">
        <v>97</v>
      </c>
      <c r="G202" s="37">
        <v>4041</v>
      </c>
      <c r="H202" s="37">
        <v>3481</v>
      </c>
      <c r="I202" s="37">
        <v>3481</v>
      </c>
      <c r="J202" s="75">
        <v>3480.2807299999999</v>
      </c>
      <c r="K202" s="35">
        <f>'1.07. '!M193</f>
        <v>2951.8902699999999</v>
      </c>
      <c r="L202" s="35">
        <v>528.39045999999996</v>
      </c>
      <c r="M202" s="93">
        <f t="shared" si="73"/>
        <v>3480.2807299999999</v>
      </c>
      <c r="N202" s="93">
        <f t="shared" si="74"/>
        <v>0.71927000000005137</v>
      </c>
      <c r="O202" s="70">
        <f t="shared" si="90"/>
        <v>99.979337259408226</v>
      </c>
      <c r="P202" s="71">
        <f t="shared" si="81"/>
        <v>0</v>
      </c>
      <c r="Q202" s="35">
        <f t="shared" si="82"/>
        <v>0.71927000000005137</v>
      </c>
      <c r="R202" s="72">
        <v>1103751</v>
      </c>
      <c r="S202" s="72">
        <f t="shared" si="83"/>
        <v>560.71927000000005</v>
      </c>
      <c r="T202" s="62">
        <f t="shared" si="86"/>
        <v>560.71927000000005</v>
      </c>
    </row>
    <row r="203" spans="1:20">
      <c r="A203" s="100"/>
      <c r="B203" s="15"/>
      <c r="C203" s="15"/>
      <c r="D203" s="16"/>
      <c r="E203" s="20">
        <v>149</v>
      </c>
      <c r="F203" s="136" t="s">
        <v>98</v>
      </c>
      <c r="G203" s="37">
        <f>3715-434-155+3420</f>
        <v>6546</v>
      </c>
      <c r="H203" s="37">
        <v>2602</v>
      </c>
      <c r="I203" s="37">
        <v>2601.6</v>
      </c>
      <c r="J203" s="75">
        <v>2601.58</v>
      </c>
      <c r="K203" s="35">
        <f>'1.07. '!M194</f>
        <v>1742.22</v>
      </c>
      <c r="L203" s="35">
        <v>859.36</v>
      </c>
      <c r="M203" s="93">
        <f t="shared" si="73"/>
        <v>2601.58</v>
      </c>
      <c r="N203" s="93">
        <f t="shared" si="74"/>
        <v>1.999999999998181E-2</v>
      </c>
      <c r="O203" s="70">
        <f t="shared" si="90"/>
        <v>99.999231242312419</v>
      </c>
      <c r="P203" s="71">
        <f t="shared" si="81"/>
        <v>0</v>
      </c>
      <c r="Q203" s="35">
        <f t="shared" si="82"/>
        <v>0.42000000000007276</v>
      </c>
      <c r="R203" s="72">
        <v>1103752</v>
      </c>
      <c r="S203" s="72">
        <f t="shared" si="83"/>
        <v>3944.42</v>
      </c>
      <c r="T203" s="62">
        <f t="shared" si="86"/>
        <v>3944.42</v>
      </c>
    </row>
    <row r="204" spans="1:20">
      <c r="A204" s="100"/>
      <c r="B204" s="15"/>
      <c r="C204" s="15"/>
      <c r="D204" s="16"/>
      <c r="E204" s="20">
        <v>151</v>
      </c>
      <c r="F204" s="136" t="s">
        <v>99</v>
      </c>
      <c r="G204" s="37">
        <v>35085</v>
      </c>
      <c r="H204" s="37">
        <v>24000</v>
      </c>
      <c r="I204" s="37">
        <v>24000</v>
      </c>
      <c r="J204" s="75">
        <f>M204</f>
        <v>24000</v>
      </c>
      <c r="K204" s="35">
        <f>'1.07. '!M195</f>
        <v>21200</v>
      </c>
      <c r="L204" s="35">
        <v>2800</v>
      </c>
      <c r="M204" s="93">
        <f t="shared" ref="M204:M210" si="104">K204+L204</f>
        <v>24000</v>
      </c>
      <c r="N204" s="93">
        <f t="shared" ref="N204:N235" si="105">I204-M204</f>
        <v>0</v>
      </c>
      <c r="O204" s="70">
        <f t="shared" si="90"/>
        <v>100</v>
      </c>
      <c r="P204" s="71">
        <f t="shared" si="81"/>
        <v>0</v>
      </c>
      <c r="Q204" s="35">
        <f t="shared" si="82"/>
        <v>0</v>
      </c>
      <c r="R204" s="72">
        <v>1103753</v>
      </c>
      <c r="S204" s="72">
        <f t="shared" si="83"/>
        <v>11085</v>
      </c>
      <c r="T204" s="62">
        <f t="shared" si="86"/>
        <v>11085</v>
      </c>
    </row>
    <row r="205" spans="1:20">
      <c r="A205" s="100"/>
      <c r="B205" s="15"/>
      <c r="C205" s="15"/>
      <c r="D205" s="16"/>
      <c r="E205" s="20">
        <v>152</v>
      </c>
      <c r="F205" s="136" t="s">
        <v>100</v>
      </c>
      <c r="G205" s="37">
        <v>1374</v>
      </c>
      <c r="H205" s="37">
        <v>1374</v>
      </c>
      <c r="I205" s="37">
        <v>348</v>
      </c>
      <c r="J205" s="75">
        <v>1373.87772</v>
      </c>
      <c r="K205" s="35">
        <f>'1.07. '!M196</f>
        <v>246</v>
      </c>
      <c r="L205" s="35">
        <v>101.44737000000001</v>
      </c>
      <c r="M205" s="93">
        <f t="shared" si="104"/>
        <v>347.44736999999998</v>
      </c>
      <c r="N205" s="93">
        <f t="shared" si="105"/>
        <v>0.55263000000002194</v>
      </c>
      <c r="O205" s="70">
        <f t="shared" si="90"/>
        <v>99.84119827586207</v>
      </c>
      <c r="P205" s="71">
        <f t="shared" si="81"/>
        <v>1026.4303500000001</v>
      </c>
      <c r="Q205" s="35">
        <f t="shared" si="82"/>
        <v>0.12228000000004613</v>
      </c>
      <c r="R205" s="72">
        <v>1103754</v>
      </c>
      <c r="S205" s="72">
        <f t="shared" si="83"/>
        <v>1026.5526300000001</v>
      </c>
      <c r="T205" s="62">
        <f t="shared" si="86"/>
        <v>0.12228000000004613</v>
      </c>
    </row>
    <row r="206" spans="1:20">
      <c r="A206" s="100"/>
      <c r="B206" s="15"/>
      <c r="C206" s="15"/>
      <c r="D206" s="16"/>
      <c r="E206" s="20">
        <v>158</v>
      </c>
      <c r="F206" s="136" t="s">
        <v>101</v>
      </c>
      <c r="G206" s="37">
        <f>730+2332-616</f>
        <v>2446</v>
      </c>
      <c r="H206" s="37">
        <v>2446</v>
      </c>
      <c r="I206" s="37">
        <v>1313.4</v>
      </c>
      <c r="J206" s="75">
        <v>1837.8155999999999</v>
      </c>
      <c r="K206" s="35">
        <f>'1.07. '!M197</f>
        <v>1082.2</v>
      </c>
      <c r="L206" s="35">
        <v>226.30779999999999</v>
      </c>
      <c r="M206" s="93">
        <f t="shared" si="104"/>
        <v>1308.5078000000001</v>
      </c>
      <c r="N206" s="93">
        <f t="shared" si="105"/>
        <v>4.8922000000000025</v>
      </c>
      <c r="O206" s="70">
        <f t="shared" si="90"/>
        <v>99.627516369727417</v>
      </c>
      <c r="P206" s="71">
        <f t="shared" si="81"/>
        <v>529.30779999999982</v>
      </c>
      <c r="Q206" s="35">
        <f t="shared" si="82"/>
        <v>608.1844000000001</v>
      </c>
      <c r="R206" s="72">
        <v>1103755</v>
      </c>
      <c r="S206" s="72">
        <f t="shared" si="83"/>
        <v>1137.4921999999999</v>
      </c>
      <c r="T206" s="62">
        <f t="shared" si="86"/>
        <v>608.1844000000001</v>
      </c>
    </row>
    <row r="207" spans="1:20">
      <c r="A207" s="100"/>
      <c r="B207" s="15"/>
      <c r="C207" s="15"/>
      <c r="D207" s="16"/>
      <c r="E207" s="20">
        <v>159</v>
      </c>
      <c r="F207" s="136" t="s">
        <v>84</v>
      </c>
      <c r="G207" s="37">
        <f>7434-2332</f>
        <v>5102</v>
      </c>
      <c r="H207" s="37">
        <v>4223</v>
      </c>
      <c r="I207" s="37">
        <v>1357</v>
      </c>
      <c r="J207" s="75">
        <v>4222.4023900000002</v>
      </c>
      <c r="K207" s="35">
        <f>'1.07. '!M198</f>
        <v>1029</v>
      </c>
      <c r="L207" s="35">
        <v>147.01262</v>
      </c>
      <c r="M207" s="93">
        <f t="shared" si="104"/>
        <v>1176.01262</v>
      </c>
      <c r="N207" s="93">
        <f t="shared" si="105"/>
        <v>180.98738000000003</v>
      </c>
      <c r="O207" s="70">
        <f t="shared" si="90"/>
        <v>86.662683861459101</v>
      </c>
      <c r="P207" s="71">
        <f t="shared" si="81"/>
        <v>3046.3897700000002</v>
      </c>
      <c r="Q207" s="35">
        <f t="shared" si="82"/>
        <v>0.59760999999980413</v>
      </c>
      <c r="R207" s="72">
        <v>1103756</v>
      </c>
      <c r="S207" s="72">
        <f t="shared" si="83"/>
        <v>3925.98738</v>
      </c>
      <c r="T207" s="62">
        <f t="shared" si="86"/>
        <v>879.5976099999998</v>
      </c>
    </row>
    <row r="208" spans="1:20">
      <c r="A208" s="100"/>
      <c r="B208" s="15"/>
      <c r="C208" s="15"/>
      <c r="D208" s="16"/>
      <c r="E208" s="69">
        <v>161</v>
      </c>
      <c r="F208" s="136" t="s">
        <v>102</v>
      </c>
      <c r="G208" s="37">
        <f>58+77+270</f>
        <v>405</v>
      </c>
      <c r="H208" s="37">
        <v>405</v>
      </c>
      <c r="I208" s="37">
        <v>405</v>
      </c>
      <c r="J208" s="75">
        <f t="shared" ref="J208:J210" si="106">M208</f>
        <v>404.16</v>
      </c>
      <c r="K208" s="35">
        <f>'1.07. '!M199</f>
        <v>404.16</v>
      </c>
      <c r="L208" s="35"/>
      <c r="M208" s="93">
        <f t="shared" si="104"/>
        <v>404.16</v>
      </c>
      <c r="N208" s="93">
        <f t="shared" si="105"/>
        <v>0.83999999999997499</v>
      </c>
      <c r="O208" s="70">
        <f t="shared" si="90"/>
        <v>99.792592592592598</v>
      </c>
      <c r="P208" s="71">
        <f t="shared" si="81"/>
        <v>0</v>
      </c>
      <c r="Q208" s="35">
        <f t="shared" si="82"/>
        <v>0.83999999999997499</v>
      </c>
      <c r="R208" s="72">
        <v>1103757</v>
      </c>
      <c r="S208" s="72">
        <f t="shared" si="83"/>
        <v>0.83999999999997499</v>
      </c>
      <c r="T208" s="62">
        <f t="shared" si="86"/>
        <v>0.83999999999997499</v>
      </c>
    </row>
    <row r="209" spans="1:20">
      <c r="A209" s="100"/>
      <c r="B209" s="15"/>
      <c r="C209" s="15"/>
      <c r="D209" s="16"/>
      <c r="E209" s="69">
        <v>168</v>
      </c>
      <c r="F209" s="136" t="s">
        <v>167</v>
      </c>
      <c r="G209" s="37">
        <f>1+56</f>
        <v>57</v>
      </c>
      <c r="H209" s="37">
        <v>57</v>
      </c>
      <c r="I209" s="37">
        <v>57</v>
      </c>
      <c r="J209" s="75">
        <f t="shared" si="106"/>
        <v>56.037739999999999</v>
      </c>
      <c r="K209" s="35">
        <f>'1.07. '!M200</f>
        <v>56.037739999999999</v>
      </c>
      <c r="L209" s="35"/>
      <c r="M209" s="93">
        <f t="shared" si="104"/>
        <v>56.037739999999999</v>
      </c>
      <c r="N209" s="93">
        <f t="shared" si="105"/>
        <v>0.96226000000000056</v>
      </c>
      <c r="O209" s="70">
        <f t="shared" si="90"/>
        <v>98.311824561403512</v>
      </c>
      <c r="P209" s="71"/>
      <c r="Q209" s="35"/>
      <c r="R209" s="72"/>
      <c r="S209" s="72"/>
    </row>
    <row r="210" spans="1:20">
      <c r="A210" s="100"/>
      <c r="B210" s="15"/>
      <c r="C210" s="15"/>
      <c r="D210" s="16"/>
      <c r="E210" s="20">
        <v>169</v>
      </c>
      <c r="F210" s="136" t="s">
        <v>103</v>
      </c>
      <c r="G210" s="37">
        <f>652+400+154+616</f>
        <v>1822</v>
      </c>
      <c r="H210" s="37">
        <v>1806</v>
      </c>
      <c r="I210" s="37">
        <v>1806</v>
      </c>
      <c r="J210" s="75">
        <f t="shared" si="106"/>
        <v>1497.91588</v>
      </c>
      <c r="K210" s="35">
        <f>'1.07. '!M201</f>
        <v>1190</v>
      </c>
      <c r="L210" s="35">
        <v>307.91588000000002</v>
      </c>
      <c r="M210" s="93">
        <f t="shared" si="104"/>
        <v>1497.91588</v>
      </c>
      <c r="N210" s="93">
        <f t="shared" si="105"/>
        <v>308.08411999999998</v>
      </c>
      <c r="O210" s="70">
        <f t="shared" si="90"/>
        <v>82.941078626799552</v>
      </c>
      <c r="P210" s="71">
        <f t="shared" si="81"/>
        <v>0</v>
      </c>
      <c r="Q210" s="35">
        <f t="shared" si="82"/>
        <v>308.08411999999998</v>
      </c>
      <c r="R210" s="72">
        <v>1103758</v>
      </c>
      <c r="S210" s="72">
        <f t="shared" si="83"/>
        <v>324.08411999999998</v>
      </c>
      <c r="T210" s="62">
        <f t="shared" si="86"/>
        <v>324.08411999999998</v>
      </c>
    </row>
    <row r="211" spans="1:20" ht="25.5">
      <c r="A211" s="100"/>
      <c r="B211" s="15"/>
      <c r="C211" s="57" t="s">
        <v>43</v>
      </c>
      <c r="D211" s="16"/>
      <c r="E211" s="20"/>
      <c r="F211" s="139" t="s">
        <v>119</v>
      </c>
      <c r="G211" s="59">
        <f t="shared" ref="G211:N211" si="107">G212</f>
        <v>432269</v>
      </c>
      <c r="H211" s="59">
        <f t="shared" si="107"/>
        <v>350929</v>
      </c>
      <c r="I211" s="59">
        <f t="shared" si="107"/>
        <v>314842</v>
      </c>
      <c r="J211" s="29">
        <f t="shared" si="107"/>
        <v>350929</v>
      </c>
      <c r="K211" s="29">
        <f t="shared" si="107"/>
        <v>281696.27747999999</v>
      </c>
      <c r="L211" s="59">
        <f t="shared" si="107"/>
        <v>0</v>
      </c>
      <c r="M211" s="29">
        <f t="shared" si="107"/>
        <v>281696.27747999999</v>
      </c>
      <c r="N211" s="29">
        <f t="shared" si="107"/>
        <v>33145.72252000001</v>
      </c>
      <c r="O211" s="70"/>
      <c r="P211" s="71">
        <f t="shared" si="81"/>
        <v>69232.72252000001</v>
      </c>
      <c r="Q211" s="35">
        <f t="shared" si="82"/>
        <v>0</v>
      </c>
      <c r="R211" s="72">
        <v>1103759</v>
      </c>
      <c r="S211" s="72">
        <f t="shared" si="83"/>
        <v>150572.72252000001</v>
      </c>
    </row>
    <row r="212" spans="1:20">
      <c r="A212" s="9"/>
      <c r="B212" s="12"/>
      <c r="C212" s="12"/>
      <c r="D212" s="11" t="s">
        <v>7</v>
      </c>
      <c r="E212" s="97"/>
      <c r="F212" s="122" t="s">
        <v>85</v>
      </c>
      <c r="G212" s="98">
        <f>G213+G214</f>
        <v>432269</v>
      </c>
      <c r="H212" s="98">
        <f t="shared" ref="H212:N212" si="108">H213+H214</f>
        <v>350929</v>
      </c>
      <c r="I212" s="98">
        <f t="shared" si="108"/>
        <v>314842</v>
      </c>
      <c r="J212" s="99">
        <f t="shared" si="108"/>
        <v>350929</v>
      </c>
      <c r="K212" s="99">
        <f t="shared" ref="K212" si="109">K213+K214</f>
        <v>281696.27747999999</v>
      </c>
      <c r="L212" s="98">
        <f t="shared" si="108"/>
        <v>0</v>
      </c>
      <c r="M212" s="32">
        <f t="shared" si="108"/>
        <v>281696.27747999999</v>
      </c>
      <c r="N212" s="32">
        <f t="shared" si="108"/>
        <v>33145.72252000001</v>
      </c>
      <c r="O212" s="68">
        <f>M212/I212*100</f>
        <v>89.472267829578016</v>
      </c>
      <c r="P212" s="71">
        <f t="shared" si="81"/>
        <v>69232.72252000001</v>
      </c>
      <c r="Q212" s="35">
        <f t="shared" si="82"/>
        <v>0</v>
      </c>
      <c r="R212" s="72">
        <v>1103760</v>
      </c>
      <c r="S212" s="72">
        <f t="shared" si="83"/>
        <v>150572.72252000001</v>
      </c>
      <c r="T212" s="62">
        <f>G212-J212</f>
        <v>81340</v>
      </c>
    </row>
    <row r="213" spans="1:20" ht="25.5">
      <c r="A213" s="100"/>
      <c r="B213" s="15"/>
      <c r="C213" s="15"/>
      <c r="D213" s="16"/>
      <c r="E213" s="20">
        <v>414</v>
      </c>
      <c r="F213" s="50" t="s">
        <v>105</v>
      </c>
      <c r="G213" s="37">
        <v>55959</v>
      </c>
      <c r="H213" s="37"/>
      <c r="I213" s="37"/>
      <c r="J213" s="75">
        <f>M213</f>
        <v>0</v>
      </c>
      <c r="K213" s="35">
        <f>'1.07. '!M204</f>
        <v>0</v>
      </c>
      <c r="L213" s="35"/>
      <c r="M213" s="93">
        <f t="shared" ref="M213:M214" si="110">K213+L213</f>
        <v>0</v>
      </c>
      <c r="N213" s="93">
        <f t="shared" ref="N213:N214" si="111">I213-M213</f>
        <v>0</v>
      </c>
      <c r="O213" s="70" t="e">
        <f t="shared" ref="O213:O214" si="112">M213/I213*100</f>
        <v>#DIV/0!</v>
      </c>
      <c r="P213" s="71">
        <f t="shared" si="81"/>
        <v>0</v>
      </c>
      <c r="Q213" s="35">
        <f t="shared" si="82"/>
        <v>0</v>
      </c>
      <c r="R213" s="72">
        <v>1103761</v>
      </c>
      <c r="S213" s="72">
        <f t="shared" si="83"/>
        <v>55959</v>
      </c>
    </row>
    <row r="214" spans="1:20" ht="25.5">
      <c r="A214" s="100"/>
      <c r="B214" s="15"/>
      <c r="C214" s="15"/>
      <c r="D214" s="16"/>
      <c r="E214" s="20">
        <v>421</v>
      </c>
      <c r="F214" s="136" t="s">
        <v>156</v>
      </c>
      <c r="G214" s="37">
        <f>350929+25381</f>
        <v>376310</v>
      </c>
      <c r="H214" s="37">
        <v>350929</v>
      </c>
      <c r="I214" s="37">
        <v>314842</v>
      </c>
      <c r="J214" s="75">
        <v>350929</v>
      </c>
      <c r="K214" s="35">
        <f>'1.07. '!M205</f>
        <v>281696.27747999999</v>
      </c>
      <c r="L214" s="35"/>
      <c r="M214" s="93">
        <f t="shared" si="110"/>
        <v>281696.27747999999</v>
      </c>
      <c r="N214" s="93">
        <f t="shared" si="111"/>
        <v>33145.72252000001</v>
      </c>
      <c r="O214" s="70">
        <f t="shared" si="112"/>
        <v>89.472267829578016</v>
      </c>
      <c r="P214" s="71">
        <f t="shared" si="81"/>
        <v>69232.72252000001</v>
      </c>
      <c r="Q214" s="35">
        <f t="shared" si="82"/>
        <v>0</v>
      </c>
      <c r="R214" s="72">
        <v>1103762</v>
      </c>
      <c r="S214" s="72">
        <f t="shared" si="83"/>
        <v>94613.72252000001</v>
      </c>
    </row>
    <row r="215" spans="1:20" s="126" customFormat="1">
      <c r="A215" s="100"/>
      <c r="B215" s="8" t="s">
        <v>20</v>
      </c>
      <c r="C215" s="8"/>
      <c r="D215" s="21"/>
      <c r="E215" s="21"/>
      <c r="F215" s="139" t="s">
        <v>125</v>
      </c>
      <c r="G215" s="59">
        <f>G216+G236</f>
        <v>636935</v>
      </c>
      <c r="H215" s="59">
        <f t="shared" ref="H215:N215" si="113">H216+H236</f>
        <v>379974.8</v>
      </c>
      <c r="I215" s="59">
        <f t="shared" si="113"/>
        <v>327788.79999999999</v>
      </c>
      <c r="J215" s="29">
        <f t="shared" si="113"/>
        <v>371832.01562000014</v>
      </c>
      <c r="K215" s="29">
        <f t="shared" si="113"/>
        <v>263737.75377999997</v>
      </c>
      <c r="L215" s="29">
        <f t="shared" si="113"/>
        <v>58513.002810000005</v>
      </c>
      <c r="M215" s="29">
        <f t="shared" si="113"/>
        <v>322250.75659000006</v>
      </c>
      <c r="N215" s="29">
        <f t="shared" si="113"/>
        <v>5538.0434100000002</v>
      </c>
      <c r="O215" s="68">
        <f t="shared" si="90"/>
        <v>98.310484247783961</v>
      </c>
      <c r="P215" s="71">
        <f t="shared" si="81"/>
        <v>49581.259030000074</v>
      </c>
      <c r="Q215" s="35">
        <f t="shared" si="82"/>
        <v>8142.7843799998518</v>
      </c>
      <c r="R215" s="72">
        <v>1103763</v>
      </c>
      <c r="S215" s="72">
        <f t="shared" si="83"/>
        <v>314684.24340999994</v>
      </c>
      <c r="T215" s="87">
        <f>G215-J215</f>
        <v>265102.98437999986</v>
      </c>
    </row>
    <row r="216" spans="1:20" s="95" customFormat="1" ht="63.75">
      <c r="A216" s="100"/>
      <c r="B216" s="8"/>
      <c r="C216" s="17" t="s">
        <v>23</v>
      </c>
      <c r="D216" s="17"/>
      <c r="E216" s="21"/>
      <c r="F216" s="139" t="s">
        <v>124</v>
      </c>
      <c r="G216" s="59">
        <f>G217</f>
        <v>636935</v>
      </c>
      <c r="H216" s="59">
        <f t="shared" ref="H216:N216" si="114">H217</f>
        <v>379974.8</v>
      </c>
      <c r="I216" s="59">
        <f t="shared" si="114"/>
        <v>327788.79999999999</v>
      </c>
      <c r="J216" s="59">
        <f t="shared" si="114"/>
        <v>371832.01562000014</v>
      </c>
      <c r="K216" s="29">
        <f t="shared" si="114"/>
        <v>263737.75377999997</v>
      </c>
      <c r="L216" s="29">
        <f t="shared" si="114"/>
        <v>58513.002810000005</v>
      </c>
      <c r="M216" s="29">
        <f t="shared" si="114"/>
        <v>322250.75659000006</v>
      </c>
      <c r="N216" s="29">
        <f t="shared" si="114"/>
        <v>5538.0434100000002</v>
      </c>
      <c r="O216" s="68">
        <f t="shared" si="90"/>
        <v>98.310484247783961</v>
      </c>
      <c r="P216" s="71">
        <f t="shared" si="81"/>
        <v>49581.259030000074</v>
      </c>
      <c r="Q216" s="35">
        <f t="shared" si="82"/>
        <v>8142.7843799998518</v>
      </c>
      <c r="R216" s="72">
        <v>1103764</v>
      </c>
      <c r="S216" s="72">
        <f t="shared" si="83"/>
        <v>314684.24340999994</v>
      </c>
      <c r="T216" s="62">
        <f t="shared" si="86"/>
        <v>265102.98437999986</v>
      </c>
    </row>
    <row r="217" spans="1:20">
      <c r="A217" s="100"/>
      <c r="B217" s="8"/>
      <c r="C217" s="17"/>
      <c r="D217" s="17" t="s">
        <v>7</v>
      </c>
      <c r="E217" s="10"/>
      <c r="F217" s="140" t="s">
        <v>85</v>
      </c>
      <c r="G217" s="59">
        <f>SUM(G218:G235)</f>
        <v>636935</v>
      </c>
      <c r="H217" s="59">
        <f>SUM(H218:H235)</f>
        <v>379974.8</v>
      </c>
      <c r="I217" s="59">
        <f>SUM(I218:I235)</f>
        <v>327788.79999999999</v>
      </c>
      <c r="J217" s="29">
        <f>SUM(J218:J235)</f>
        <v>371832.01562000014</v>
      </c>
      <c r="K217" s="29">
        <f>SUM(K218:K235)</f>
        <v>263737.75377999997</v>
      </c>
      <c r="L217" s="29">
        <f t="shared" ref="L217:N217" si="115">SUM(L218:L235)</f>
        <v>58513.002810000005</v>
      </c>
      <c r="M217" s="29">
        <f>SUM(M218:M235)</f>
        <v>322250.75659000006</v>
      </c>
      <c r="N217" s="29">
        <f t="shared" si="115"/>
        <v>5538.0434100000002</v>
      </c>
      <c r="O217" s="68">
        <f>M217/I217*100</f>
        <v>98.310484247783961</v>
      </c>
      <c r="P217" s="71">
        <f t="shared" si="81"/>
        <v>49581.259030000074</v>
      </c>
      <c r="Q217" s="35">
        <f t="shared" si="82"/>
        <v>8142.7843799998518</v>
      </c>
      <c r="R217" s="72">
        <v>1103765</v>
      </c>
      <c r="S217" s="72">
        <f t="shared" si="83"/>
        <v>314684.24340999994</v>
      </c>
      <c r="T217" s="62">
        <f t="shared" si="86"/>
        <v>265102.98437999986</v>
      </c>
    </row>
    <row r="218" spans="1:20">
      <c r="A218" s="100"/>
      <c r="B218" s="9"/>
      <c r="C218" s="9"/>
      <c r="D218" s="69"/>
      <c r="E218" s="69">
        <v>111</v>
      </c>
      <c r="F218" s="136" t="s">
        <v>86</v>
      </c>
      <c r="G218" s="26">
        <f>367447-355</f>
        <v>367092</v>
      </c>
      <c r="H218" s="26">
        <v>215399</v>
      </c>
      <c r="I218" s="26">
        <v>215399</v>
      </c>
      <c r="J218" s="27">
        <f>M218</f>
        <v>213558.29300000001</v>
      </c>
      <c r="K218" s="35">
        <f>'1.07. '!M209</f>
        <v>183508</v>
      </c>
      <c r="L218" s="27">
        <v>30050.293000000001</v>
      </c>
      <c r="M218" s="93">
        <f>K218+L218</f>
        <v>213558.29300000001</v>
      </c>
      <c r="N218" s="93">
        <f t="shared" si="105"/>
        <v>1840.7069999999949</v>
      </c>
      <c r="O218" s="70">
        <f t="shared" si="90"/>
        <v>99.145443107906729</v>
      </c>
      <c r="P218" s="71">
        <f t="shared" si="81"/>
        <v>0</v>
      </c>
      <c r="Q218" s="35">
        <f t="shared" si="82"/>
        <v>1840.7069999999949</v>
      </c>
      <c r="R218" s="72">
        <v>1103766</v>
      </c>
      <c r="S218" s="72">
        <f t="shared" si="83"/>
        <v>153533.70699999999</v>
      </c>
      <c r="T218" s="62">
        <f t="shared" si="86"/>
        <v>153533.70699999999</v>
      </c>
    </row>
    <row r="219" spans="1:20">
      <c r="A219" s="100"/>
      <c r="B219" s="9"/>
      <c r="C219" s="9"/>
      <c r="D219" s="69"/>
      <c r="E219" s="69">
        <v>112</v>
      </c>
      <c r="F219" s="136" t="s">
        <v>87</v>
      </c>
      <c r="G219" s="26">
        <v>355</v>
      </c>
      <c r="H219" s="26">
        <v>355</v>
      </c>
      <c r="I219" s="26">
        <v>355</v>
      </c>
      <c r="J219" s="27">
        <f t="shared" ref="J219:J235" si="116">M219</f>
        <v>353.988</v>
      </c>
      <c r="K219" s="35">
        <f>'1.07. '!M210</f>
        <v>353.988</v>
      </c>
      <c r="L219" s="27"/>
      <c r="M219" s="93">
        <f>K219+L219</f>
        <v>353.988</v>
      </c>
      <c r="N219" s="93">
        <f t="shared" si="105"/>
        <v>1.0120000000000005</v>
      </c>
      <c r="O219" s="70">
        <f t="shared" si="90"/>
        <v>99.714929577464787</v>
      </c>
      <c r="P219" s="71">
        <f t="shared" si="81"/>
        <v>0</v>
      </c>
      <c r="Q219" s="35">
        <f t="shared" si="82"/>
        <v>1.0120000000000005</v>
      </c>
      <c r="R219" s="72">
        <v>1103767</v>
      </c>
      <c r="S219" s="72">
        <f t="shared" si="83"/>
        <v>1.0120000000000005</v>
      </c>
    </row>
    <row r="220" spans="1:20">
      <c r="A220" s="100"/>
      <c r="B220" s="9"/>
      <c r="C220" s="9"/>
      <c r="D220" s="69"/>
      <c r="E220" s="76">
        <v>113</v>
      </c>
      <c r="F220" s="136" t="s">
        <v>88</v>
      </c>
      <c r="G220" s="26">
        <v>11349</v>
      </c>
      <c r="H220" s="26">
        <v>4565</v>
      </c>
      <c r="I220" s="26">
        <v>4565</v>
      </c>
      <c r="J220" s="27">
        <f t="shared" si="116"/>
        <v>4511.0439999999999</v>
      </c>
      <c r="K220" s="35">
        <f>'1.07. '!M211</f>
        <v>3383.99</v>
      </c>
      <c r="L220" s="27">
        <v>1127.0540000000001</v>
      </c>
      <c r="M220" s="93">
        <f t="shared" ref="M220:M235" si="117">K220+L220</f>
        <v>4511.0439999999999</v>
      </c>
      <c r="N220" s="93">
        <f>I220-M220</f>
        <v>53.956000000000131</v>
      </c>
      <c r="O220" s="70">
        <f>M220/I220*100</f>
        <v>98.81805038335159</v>
      </c>
      <c r="P220" s="71">
        <f t="shared" si="81"/>
        <v>0</v>
      </c>
      <c r="Q220" s="35">
        <f t="shared" si="82"/>
        <v>53.956000000000131</v>
      </c>
      <c r="R220" s="72">
        <v>1103768</v>
      </c>
      <c r="S220" s="72">
        <f t="shared" si="83"/>
        <v>6837.9560000000001</v>
      </c>
      <c r="T220" s="62">
        <f t="shared" si="86"/>
        <v>6837.9560000000001</v>
      </c>
    </row>
    <row r="221" spans="1:20">
      <c r="A221" s="100"/>
      <c r="B221" s="9"/>
      <c r="C221" s="9"/>
      <c r="D221" s="69"/>
      <c r="E221" s="69">
        <v>116</v>
      </c>
      <c r="F221" s="136" t="s">
        <v>89</v>
      </c>
      <c r="G221" s="26">
        <v>11283</v>
      </c>
      <c r="H221" s="26">
        <v>5401</v>
      </c>
      <c r="I221" s="26">
        <v>5401</v>
      </c>
      <c r="J221" s="27">
        <f t="shared" si="116"/>
        <v>4976.2709999999997</v>
      </c>
      <c r="K221" s="35">
        <f>'1.07. '!M212</f>
        <v>4338</v>
      </c>
      <c r="L221" s="27">
        <v>638.27099999999996</v>
      </c>
      <c r="M221" s="93">
        <f t="shared" si="117"/>
        <v>4976.2709999999997</v>
      </c>
      <c r="N221" s="93">
        <f>I221-M221</f>
        <v>424.72900000000027</v>
      </c>
      <c r="O221" s="70">
        <f>M221/I221*100</f>
        <v>92.136104425106453</v>
      </c>
      <c r="P221" s="71">
        <f t="shared" si="81"/>
        <v>0</v>
      </c>
      <c r="Q221" s="35">
        <f t="shared" si="82"/>
        <v>424.72900000000027</v>
      </c>
      <c r="R221" s="72">
        <v>1103769</v>
      </c>
      <c r="S221" s="72">
        <f t="shared" si="83"/>
        <v>6306.7290000000003</v>
      </c>
    </row>
    <row r="222" spans="1:20">
      <c r="A222" s="100"/>
      <c r="B222" s="9"/>
      <c r="C222" s="9"/>
      <c r="D222" s="69"/>
      <c r="E222" s="69">
        <v>121</v>
      </c>
      <c r="F222" s="136" t="s">
        <v>90</v>
      </c>
      <c r="G222" s="26">
        <v>19034</v>
      </c>
      <c r="H222" s="26">
        <v>11228</v>
      </c>
      <c r="I222" s="26">
        <v>11228</v>
      </c>
      <c r="J222" s="27">
        <f t="shared" si="116"/>
        <v>11228</v>
      </c>
      <c r="K222" s="35">
        <f>'1.07. '!M213</f>
        <v>9624</v>
      </c>
      <c r="L222" s="27">
        <v>1604</v>
      </c>
      <c r="M222" s="93">
        <f t="shared" si="117"/>
        <v>11228</v>
      </c>
      <c r="N222" s="93">
        <f t="shared" si="105"/>
        <v>0</v>
      </c>
      <c r="O222" s="70">
        <f t="shared" si="90"/>
        <v>100</v>
      </c>
      <c r="P222" s="71">
        <f t="shared" si="81"/>
        <v>0</v>
      </c>
      <c r="Q222" s="35">
        <f t="shared" si="82"/>
        <v>0</v>
      </c>
      <c r="R222" s="72">
        <v>1103770</v>
      </c>
      <c r="S222" s="72">
        <f t="shared" si="83"/>
        <v>7806</v>
      </c>
      <c r="T222" s="62">
        <f t="shared" si="86"/>
        <v>7806</v>
      </c>
    </row>
    <row r="223" spans="1:20">
      <c r="A223" s="100"/>
      <c r="B223" s="9"/>
      <c r="C223" s="9"/>
      <c r="D223" s="69"/>
      <c r="E223" s="69">
        <v>122</v>
      </c>
      <c r="F223" s="136" t="s">
        <v>91</v>
      </c>
      <c r="G223" s="26">
        <v>16535</v>
      </c>
      <c r="H223" s="26">
        <v>9296</v>
      </c>
      <c r="I223" s="26">
        <v>9296</v>
      </c>
      <c r="J223" s="27">
        <f t="shared" si="116"/>
        <v>9275.594000000001</v>
      </c>
      <c r="K223" s="35">
        <f>'1.07. '!M214</f>
        <v>8057.4400000000005</v>
      </c>
      <c r="L223" s="27">
        <v>1218.154</v>
      </c>
      <c r="M223" s="93">
        <f t="shared" si="117"/>
        <v>9275.594000000001</v>
      </c>
      <c r="N223" s="93">
        <f t="shared" si="105"/>
        <v>20.40599999999904</v>
      </c>
      <c r="O223" s="70">
        <f t="shared" si="90"/>
        <v>99.780486230636839</v>
      </c>
      <c r="P223" s="71">
        <f t="shared" si="81"/>
        <v>0</v>
      </c>
      <c r="Q223" s="35">
        <f t="shared" si="82"/>
        <v>20.40599999999904</v>
      </c>
      <c r="R223" s="72">
        <v>1103771</v>
      </c>
      <c r="S223" s="72">
        <f t="shared" si="83"/>
        <v>7259.405999999999</v>
      </c>
      <c r="T223" s="62">
        <f t="shared" si="86"/>
        <v>7259.405999999999</v>
      </c>
    </row>
    <row r="224" spans="1:20">
      <c r="A224" s="100"/>
      <c r="B224" s="9"/>
      <c r="C224" s="9"/>
      <c r="D224" s="69"/>
      <c r="E224" s="69">
        <v>123</v>
      </c>
      <c r="F224" s="136" t="s">
        <v>92</v>
      </c>
      <c r="G224" s="26">
        <v>532</v>
      </c>
      <c r="H224" s="26">
        <v>496</v>
      </c>
      <c r="I224" s="26">
        <v>496</v>
      </c>
      <c r="J224" s="27">
        <f t="shared" si="116"/>
        <v>77.43374</v>
      </c>
      <c r="K224" s="35">
        <f>'1.07. '!M215</f>
        <v>77.43374</v>
      </c>
      <c r="L224" s="27"/>
      <c r="M224" s="93">
        <f t="shared" si="117"/>
        <v>77.43374</v>
      </c>
      <c r="N224" s="93">
        <f t="shared" si="105"/>
        <v>418.56626</v>
      </c>
      <c r="O224" s="70">
        <f>M224/I224*100</f>
        <v>15.611641129032257</v>
      </c>
      <c r="P224" s="71">
        <f t="shared" si="81"/>
        <v>0</v>
      </c>
      <c r="Q224" s="35">
        <f t="shared" si="82"/>
        <v>418.56626</v>
      </c>
      <c r="R224" s="72">
        <v>1103772</v>
      </c>
      <c r="S224" s="72">
        <f t="shared" si="83"/>
        <v>454.56626</v>
      </c>
      <c r="T224" s="62">
        <f t="shared" si="86"/>
        <v>454.56626</v>
      </c>
    </row>
    <row r="225" spans="1:20">
      <c r="A225" s="100"/>
      <c r="B225" s="9"/>
      <c r="C225" s="9"/>
      <c r="D225" s="69"/>
      <c r="E225" s="69">
        <v>124</v>
      </c>
      <c r="F225" s="136" t="s">
        <v>93</v>
      </c>
      <c r="G225" s="26">
        <v>11023</v>
      </c>
      <c r="H225" s="26">
        <v>4568</v>
      </c>
      <c r="I225" s="26">
        <v>4568</v>
      </c>
      <c r="J225" s="27">
        <f t="shared" si="116"/>
        <v>4555.2330000000002</v>
      </c>
      <c r="K225" s="35">
        <f>'1.07. '!M216</f>
        <v>3850.1869999999999</v>
      </c>
      <c r="L225" s="27">
        <v>705.04600000000005</v>
      </c>
      <c r="M225" s="93">
        <f t="shared" si="117"/>
        <v>4555.2330000000002</v>
      </c>
      <c r="N225" s="93">
        <f t="shared" si="105"/>
        <v>12.766999999999825</v>
      </c>
      <c r="O225" s="70">
        <f t="shared" si="90"/>
        <v>99.720512259194408</v>
      </c>
      <c r="P225" s="71">
        <f t="shared" ref="P225:P293" si="118">J225-M225</f>
        <v>0</v>
      </c>
      <c r="Q225" s="35">
        <f t="shared" ref="Q225:Q293" si="119">H225-J225</f>
        <v>12.766999999999825</v>
      </c>
      <c r="R225" s="72">
        <v>1103773</v>
      </c>
      <c r="S225" s="72">
        <f t="shared" ref="S225:S293" si="120">G225-M225</f>
        <v>6467.7669999999998</v>
      </c>
      <c r="T225" s="62">
        <f t="shared" si="86"/>
        <v>6467.7669999999998</v>
      </c>
    </row>
    <row r="226" spans="1:20">
      <c r="A226" s="100"/>
      <c r="B226" s="9"/>
      <c r="C226" s="9"/>
      <c r="D226" s="69"/>
      <c r="E226" s="69">
        <v>141</v>
      </c>
      <c r="F226" s="136" t="s">
        <v>116</v>
      </c>
      <c r="G226" s="26">
        <v>103078</v>
      </c>
      <c r="H226" s="26">
        <v>80711.199999999997</v>
      </c>
      <c r="I226" s="26">
        <v>35326.300000000003</v>
      </c>
      <c r="J226" s="27">
        <v>80711.125</v>
      </c>
      <c r="K226" s="35">
        <f>'1.07. '!M217</f>
        <v>16158</v>
      </c>
      <c r="L226" s="27">
        <v>19168.265299999999</v>
      </c>
      <c r="M226" s="93">
        <f t="shared" si="117"/>
        <v>35326.265299999999</v>
      </c>
      <c r="N226" s="93">
        <f t="shared" si="105"/>
        <v>3.4700000003795139E-2</v>
      </c>
      <c r="O226" s="70">
        <f t="shared" si="90"/>
        <v>99.999901772900074</v>
      </c>
      <c r="P226" s="71">
        <f t="shared" si="118"/>
        <v>45384.859700000001</v>
      </c>
      <c r="Q226" s="35">
        <f t="shared" si="119"/>
        <v>7.4999999997089617E-2</v>
      </c>
      <c r="R226" s="72">
        <v>1103774</v>
      </c>
      <c r="S226" s="72">
        <f t="shared" si="120"/>
        <v>67751.734700000001</v>
      </c>
      <c r="T226" s="62">
        <f t="shared" si="86"/>
        <v>22366.875</v>
      </c>
    </row>
    <row r="227" spans="1:20" s="73" customFormat="1" ht="25.5">
      <c r="A227" s="100"/>
      <c r="B227" s="9"/>
      <c r="C227" s="9"/>
      <c r="D227" s="69"/>
      <c r="E227" s="69">
        <v>142</v>
      </c>
      <c r="F227" s="136" t="s">
        <v>122</v>
      </c>
      <c r="G227" s="26">
        <f>26237-10823</f>
        <v>15414</v>
      </c>
      <c r="H227" s="26">
        <v>2743.1</v>
      </c>
      <c r="I227" s="26">
        <v>2743.1</v>
      </c>
      <c r="J227" s="27">
        <v>2509.7856999999999</v>
      </c>
      <c r="K227" s="35">
        <f>'1.07. '!M218</f>
        <v>2445.0376999999999</v>
      </c>
      <c r="L227" s="27">
        <v>64.748000000000005</v>
      </c>
      <c r="M227" s="93">
        <f t="shared" si="117"/>
        <v>2509.7856999999999</v>
      </c>
      <c r="N227" s="93">
        <f t="shared" si="105"/>
        <v>233.3143</v>
      </c>
      <c r="O227" s="70">
        <f t="shared" si="90"/>
        <v>91.494502570084933</v>
      </c>
      <c r="P227" s="71">
        <f t="shared" si="118"/>
        <v>0</v>
      </c>
      <c r="Q227" s="35">
        <f t="shared" si="119"/>
        <v>233.3143</v>
      </c>
      <c r="R227" s="72">
        <v>1103775</v>
      </c>
      <c r="S227" s="72">
        <f t="shared" si="120"/>
        <v>12904.2143</v>
      </c>
      <c r="T227" s="62">
        <f t="shared" si="86"/>
        <v>12904.2143</v>
      </c>
    </row>
    <row r="228" spans="1:20">
      <c r="A228" s="100"/>
      <c r="B228" s="9"/>
      <c r="C228" s="9"/>
      <c r="D228" s="69"/>
      <c r="E228" s="69">
        <v>144</v>
      </c>
      <c r="F228" s="136" t="s">
        <v>97</v>
      </c>
      <c r="G228" s="26">
        <v>3824</v>
      </c>
      <c r="H228" s="26">
        <v>3824</v>
      </c>
      <c r="I228" s="26">
        <v>1512.5</v>
      </c>
      <c r="J228" s="27">
        <f>M228</f>
        <v>1453.6548</v>
      </c>
      <c r="K228" s="35">
        <f>'1.07. '!M219</f>
        <v>1301.8479</v>
      </c>
      <c r="L228" s="27">
        <v>151.80690000000001</v>
      </c>
      <c r="M228" s="93">
        <f t="shared" si="117"/>
        <v>1453.6548</v>
      </c>
      <c r="N228" s="93">
        <f t="shared" si="105"/>
        <v>58.845199999999977</v>
      </c>
      <c r="O228" s="70">
        <f t="shared" si="90"/>
        <v>96.109408264462814</v>
      </c>
      <c r="P228" s="71">
        <f t="shared" si="118"/>
        <v>0</v>
      </c>
      <c r="Q228" s="35">
        <f t="shared" si="119"/>
        <v>2370.3451999999997</v>
      </c>
      <c r="R228" s="72">
        <v>1103776</v>
      </c>
      <c r="S228" s="72">
        <f t="shared" si="120"/>
        <v>2370.3451999999997</v>
      </c>
      <c r="T228" s="62">
        <f t="shared" si="86"/>
        <v>2370.3451999999997</v>
      </c>
    </row>
    <row r="229" spans="1:20">
      <c r="A229" s="100"/>
      <c r="B229" s="9"/>
      <c r="C229" s="9"/>
      <c r="D229" s="69"/>
      <c r="E229" s="69">
        <v>149</v>
      </c>
      <c r="F229" s="136" t="s">
        <v>98</v>
      </c>
      <c r="G229" s="26">
        <v>9021</v>
      </c>
      <c r="H229" s="26">
        <v>5695</v>
      </c>
      <c r="I229" s="26">
        <v>5694.5</v>
      </c>
      <c r="J229" s="27">
        <f t="shared" si="116"/>
        <v>5448.1156599999995</v>
      </c>
      <c r="K229" s="35">
        <f>'1.07. '!M220</f>
        <v>5329.4156599999997</v>
      </c>
      <c r="L229" s="27">
        <v>118.7</v>
      </c>
      <c r="M229" s="93">
        <f t="shared" si="117"/>
        <v>5448.1156599999995</v>
      </c>
      <c r="N229" s="93">
        <f t="shared" si="105"/>
        <v>246.38434000000052</v>
      </c>
      <c r="O229" s="70">
        <f t="shared" si="90"/>
        <v>95.673292826411441</v>
      </c>
      <c r="P229" s="71">
        <f t="shared" si="118"/>
        <v>0</v>
      </c>
      <c r="Q229" s="35">
        <f t="shared" si="119"/>
        <v>246.88434000000052</v>
      </c>
      <c r="R229" s="72">
        <v>1103777</v>
      </c>
      <c r="S229" s="72">
        <f t="shared" si="120"/>
        <v>3572.8843400000005</v>
      </c>
      <c r="T229" s="62">
        <f t="shared" si="86"/>
        <v>3572.8843400000005</v>
      </c>
    </row>
    <row r="230" spans="1:20">
      <c r="A230" s="100"/>
      <c r="B230" s="9"/>
      <c r="C230" s="9"/>
      <c r="D230" s="69"/>
      <c r="E230" s="69">
        <v>151</v>
      </c>
      <c r="F230" s="136" t="s">
        <v>99</v>
      </c>
      <c r="G230" s="26">
        <v>33050</v>
      </c>
      <c r="H230" s="26">
        <v>19980</v>
      </c>
      <c r="I230" s="26">
        <v>19980</v>
      </c>
      <c r="J230" s="27">
        <f t="shared" si="116"/>
        <v>19908.720259999998</v>
      </c>
      <c r="K230" s="35">
        <f>'1.07. '!M221</f>
        <v>16659.571909999999</v>
      </c>
      <c r="L230" s="27">
        <v>3249.1483499999999</v>
      </c>
      <c r="M230" s="93">
        <f t="shared" si="117"/>
        <v>19908.720259999998</v>
      </c>
      <c r="N230" s="93">
        <f t="shared" si="105"/>
        <v>71.279740000001766</v>
      </c>
      <c r="O230" s="70">
        <f t="shared" si="90"/>
        <v>99.643244544544544</v>
      </c>
      <c r="P230" s="71">
        <f t="shared" si="118"/>
        <v>0</v>
      </c>
      <c r="Q230" s="35">
        <f t="shared" si="119"/>
        <v>71.279740000001766</v>
      </c>
      <c r="R230" s="72">
        <v>1103778</v>
      </c>
      <c r="S230" s="72">
        <f t="shared" si="120"/>
        <v>13141.279740000002</v>
      </c>
      <c r="T230" s="62">
        <f t="shared" si="86"/>
        <v>13141.279740000002</v>
      </c>
    </row>
    <row r="231" spans="1:20">
      <c r="A231" s="100"/>
      <c r="B231" s="9"/>
      <c r="C231" s="9"/>
      <c r="D231" s="69"/>
      <c r="E231" s="69">
        <v>152</v>
      </c>
      <c r="F231" s="136" t="s">
        <v>100</v>
      </c>
      <c r="G231" s="26">
        <v>3322</v>
      </c>
      <c r="H231" s="26">
        <v>3322</v>
      </c>
      <c r="I231" s="26">
        <v>831</v>
      </c>
      <c r="J231" s="27">
        <v>1939.52</v>
      </c>
      <c r="K231" s="35">
        <f>'1.07. '!M222</f>
        <v>480.97771999999998</v>
      </c>
      <c r="L231" s="27">
        <v>188.08573000000001</v>
      </c>
      <c r="M231" s="93">
        <f t="shared" si="117"/>
        <v>669.06344999999999</v>
      </c>
      <c r="N231" s="93">
        <f t="shared" si="105"/>
        <v>161.93655000000001</v>
      </c>
      <c r="O231" s="70">
        <f t="shared" si="90"/>
        <v>80.513050541516236</v>
      </c>
      <c r="P231" s="71">
        <f t="shared" si="118"/>
        <v>1270.4565499999999</v>
      </c>
      <c r="Q231" s="35">
        <f t="shared" si="119"/>
        <v>1382.48</v>
      </c>
      <c r="R231" s="72">
        <v>1103779</v>
      </c>
      <c r="S231" s="72">
        <f t="shared" si="120"/>
        <v>2652.9365499999999</v>
      </c>
      <c r="T231" s="62">
        <f t="shared" si="86"/>
        <v>1382.48</v>
      </c>
    </row>
    <row r="232" spans="1:20">
      <c r="A232" s="100"/>
      <c r="B232" s="9"/>
      <c r="C232" s="9"/>
      <c r="D232" s="69"/>
      <c r="E232" s="69">
        <v>158</v>
      </c>
      <c r="F232" s="136" t="s">
        <v>101</v>
      </c>
      <c r="G232" s="26">
        <v>2290</v>
      </c>
      <c r="H232" s="26">
        <v>2290</v>
      </c>
      <c r="I232" s="26">
        <v>657.9</v>
      </c>
      <c r="J232" s="27">
        <v>1878.4</v>
      </c>
      <c r="K232" s="35">
        <f>'1.07. '!M223</f>
        <v>596.90000000000009</v>
      </c>
      <c r="L232" s="27">
        <v>-1.22</v>
      </c>
      <c r="M232" s="93">
        <f t="shared" si="117"/>
        <v>595.68000000000006</v>
      </c>
      <c r="N232" s="93">
        <f t="shared" si="105"/>
        <v>62.219999999999914</v>
      </c>
      <c r="O232" s="70">
        <f t="shared" si="90"/>
        <v>90.542635658914733</v>
      </c>
      <c r="P232" s="71">
        <f t="shared" si="118"/>
        <v>1282.72</v>
      </c>
      <c r="Q232" s="35">
        <f t="shared" si="119"/>
        <v>411.59999999999991</v>
      </c>
      <c r="R232" s="72">
        <v>1103780</v>
      </c>
      <c r="S232" s="72">
        <f t="shared" si="120"/>
        <v>1694.32</v>
      </c>
      <c r="T232" s="62">
        <f t="shared" si="86"/>
        <v>411.59999999999991</v>
      </c>
    </row>
    <row r="233" spans="1:20">
      <c r="A233" s="100"/>
      <c r="B233" s="9"/>
      <c r="C233" s="9"/>
      <c r="D233" s="69"/>
      <c r="E233" s="69">
        <v>159</v>
      </c>
      <c r="F233" s="136" t="s">
        <v>84</v>
      </c>
      <c r="G233" s="26">
        <f>16176-1560+10823</f>
        <v>25439</v>
      </c>
      <c r="H233" s="26">
        <v>7103</v>
      </c>
      <c r="I233" s="26">
        <v>6737</v>
      </c>
      <c r="J233" s="27">
        <v>6448.3374599999997</v>
      </c>
      <c r="K233" s="35">
        <f>'1.07. '!M224</f>
        <v>4767.4641499999998</v>
      </c>
      <c r="L233" s="27">
        <v>37.650530000000003</v>
      </c>
      <c r="M233" s="93">
        <f t="shared" si="117"/>
        <v>4805.1146799999997</v>
      </c>
      <c r="N233" s="93">
        <f t="shared" si="105"/>
        <v>1931.8853200000003</v>
      </c>
      <c r="O233" s="70">
        <f t="shared" si="90"/>
        <v>71.324249369155396</v>
      </c>
      <c r="P233" s="71">
        <f t="shared" si="118"/>
        <v>1643.2227800000001</v>
      </c>
      <c r="Q233" s="35">
        <f t="shared" si="119"/>
        <v>654.66254000000026</v>
      </c>
      <c r="R233" s="72">
        <v>1103781</v>
      </c>
      <c r="S233" s="72">
        <f t="shared" si="120"/>
        <v>20633.885320000001</v>
      </c>
      <c r="T233" s="62">
        <f t="shared" si="86"/>
        <v>18990.662540000001</v>
      </c>
    </row>
    <row r="234" spans="1:20">
      <c r="A234" s="100"/>
      <c r="B234" s="9"/>
      <c r="C234" s="9"/>
      <c r="D234" s="69"/>
      <c r="E234" s="69">
        <v>161</v>
      </c>
      <c r="F234" s="136" t="s">
        <v>102</v>
      </c>
      <c r="G234" s="26">
        <v>4231</v>
      </c>
      <c r="H234" s="26">
        <v>2998.5</v>
      </c>
      <c r="I234" s="26">
        <v>2998.5</v>
      </c>
      <c r="J234" s="27">
        <f t="shared" si="116"/>
        <v>2998.5</v>
      </c>
      <c r="K234" s="35">
        <f>'1.07. '!M225</f>
        <v>2805.5</v>
      </c>
      <c r="L234" s="27">
        <v>193</v>
      </c>
      <c r="M234" s="93">
        <f t="shared" si="117"/>
        <v>2998.5</v>
      </c>
      <c r="N234" s="93">
        <f t="shared" si="105"/>
        <v>0</v>
      </c>
      <c r="O234" s="70">
        <f t="shared" si="90"/>
        <v>100</v>
      </c>
      <c r="P234" s="71">
        <f t="shared" si="118"/>
        <v>0</v>
      </c>
      <c r="Q234" s="35">
        <f t="shared" si="119"/>
        <v>0</v>
      </c>
      <c r="R234" s="72">
        <v>1103782</v>
      </c>
      <c r="S234" s="72">
        <f t="shared" si="120"/>
        <v>1232.5</v>
      </c>
      <c r="T234" s="62">
        <f t="shared" si="86"/>
        <v>1232.5</v>
      </c>
    </row>
    <row r="235" spans="1:20">
      <c r="A235" s="100"/>
      <c r="B235" s="9"/>
      <c r="C235" s="9"/>
      <c r="D235" s="69"/>
      <c r="E235" s="69">
        <v>169</v>
      </c>
      <c r="F235" s="136" t="s">
        <v>103</v>
      </c>
      <c r="G235" s="26">
        <v>63</v>
      </c>
      <c r="H235" s="26"/>
      <c r="I235" s="26"/>
      <c r="J235" s="27">
        <f t="shared" si="116"/>
        <v>0</v>
      </c>
      <c r="K235" s="35">
        <f>'1.07. '!M226</f>
        <v>0</v>
      </c>
      <c r="L235" s="27"/>
      <c r="M235" s="93">
        <f t="shared" si="117"/>
        <v>0</v>
      </c>
      <c r="N235" s="93">
        <f t="shared" si="105"/>
        <v>0</v>
      </c>
      <c r="O235" s="70" t="e">
        <f t="shared" si="90"/>
        <v>#DIV/0!</v>
      </c>
      <c r="P235" s="71">
        <f t="shared" si="118"/>
        <v>0</v>
      </c>
      <c r="Q235" s="35">
        <f t="shared" si="119"/>
        <v>0</v>
      </c>
      <c r="R235" s="72">
        <v>1103783</v>
      </c>
      <c r="S235" s="72">
        <f t="shared" si="120"/>
        <v>63</v>
      </c>
      <c r="T235" s="62">
        <f t="shared" si="86"/>
        <v>63</v>
      </c>
    </row>
    <row r="236" spans="1:20" ht="25.5" hidden="1">
      <c r="A236" s="100"/>
      <c r="B236" s="15"/>
      <c r="C236" s="57" t="s">
        <v>43</v>
      </c>
      <c r="D236" s="18"/>
      <c r="E236" s="115"/>
      <c r="F236" s="67" t="s">
        <v>44</v>
      </c>
      <c r="G236" s="59">
        <f t="shared" ref="G236:N237" si="121">G237</f>
        <v>0</v>
      </c>
      <c r="H236" s="59">
        <f t="shared" si="121"/>
        <v>0</v>
      </c>
      <c r="I236" s="59">
        <f t="shared" si="121"/>
        <v>0</v>
      </c>
      <c r="J236" s="33">
        <f t="shared" si="121"/>
        <v>0</v>
      </c>
      <c r="K236" s="35">
        <f>'1.07. '!M227</f>
        <v>0</v>
      </c>
      <c r="L236" s="59">
        <f t="shared" si="121"/>
        <v>0</v>
      </c>
      <c r="M236" s="29">
        <f t="shared" si="121"/>
        <v>0</v>
      </c>
      <c r="N236" s="29">
        <f t="shared" si="121"/>
        <v>0</v>
      </c>
      <c r="O236" s="70"/>
      <c r="P236" s="71">
        <f t="shared" si="118"/>
        <v>0</v>
      </c>
      <c r="Q236" s="35">
        <f t="shared" si="119"/>
        <v>0</v>
      </c>
      <c r="R236" s="72">
        <v>1103784</v>
      </c>
      <c r="S236" s="72">
        <f t="shared" si="120"/>
        <v>0</v>
      </c>
    </row>
    <row r="237" spans="1:20" hidden="1">
      <c r="A237" s="9"/>
      <c r="B237" s="12"/>
      <c r="C237" s="12"/>
      <c r="D237" s="11" t="s">
        <v>7</v>
      </c>
      <c r="E237" s="97"/>
      <c r="F237" s="4" t="s">
        <v>22</v>
      </c>
      <c r="G237" s="98">
        <f t="shared" si="121"/>
        <v>0</v>
      </c>
      <c r="H237" s="98">
        <f t="shared" si="121"/>
        <v>0</v>
      </c>
      <c r="I237" s="98">
        <f t="shared" si="121"/>
        <v>0</v>
      </c>
      <c r="J237" s="99">
        <f>J238</f>
        <v>0</v>
      </c>
      <c r="K237" s="35">
        <f>'1.07. '!M228</f>
        <v>0</v>
      </c>
      <c r="L237" s="98">
        <f t="shared" si="121"/>
        <v>0</v>
      </c>
      <c r="M237" s="32">
        <f t="shared" si="121"/>
        <v>0</v>
      </c>
      <c r="N237" s="32">
        <f t="shared" si="121"/>
        <v>0</v>
      </c>
      <c r="O237" s="68" t="e">
        <f>M237/I237*100</f>
        <v>#DIV/0!</v>
      </c>
      <c r="P237" s="71">
        <f t="shared" si="118"/>
        <v>0</v>
      </c>
      <c r="Q237" s="35">
        <f t="shared" si="119"/>
        <v>0</v>
      </c>
      <c r="R237" s="72">
        <v>1103785</v>
      </c>
      <c r="S237" s="72">
        <f t="shared" si="120"/>
        <v>0</v>
      </c>
      <c r="T237" s="62">
        <f>G237-J237</f>
        <v>0</v>
      </c>
    </row>
    <row r="238" spans="1:20" ht="25.5" hidden="1">
      <c r="A238" s="100"/>
      <c r="B238" s="15"/>
      <c r="C238" s="15"/>
      <c r="D238" s="16"/>
      <c r="E238" s="20">
        <v>414</v>
      </c>
      <c r="F238" s="86" t="s">
        <v>64</v>
      </c>
      <c r="G238" s="37"/>
      <c r="H238" s="37"/>
      <c r="I238" s="37"/>
      <c r="J238" s="75">
        <f>M238</f>
        <v>0</v>
      </c>
      <c r="K238" s="35">
        <f>'1.07. '!M229</f>
        <v>0</v>
      </c>
      <c r="L238" s="35"/>
      <c r="M238" s="93">
        <f t="shared" ref="M238" si="122">K238+L238</f>
        <v>0</v>
      </c>
      <c r="N238" s="93">
        <f t="shared" ref="N238" si="123">I238-M238</f>
        <v>0</v>
      </c>
      <c r="O238" s="70" t="e">
        <f>M238/I238*100</f>
        <v>#DIV/0!</v>
      </c>
      <c r="P238" s="71">
        <f t="shared" si="118"/>
        <v>0</v>
      </c>
      <c r="Q238" s="35">
        <f t="shared" si="119"/>
        <v>0</v>
      </c>
      <c r="R238" s="72">
        <v>1103786</v>
      </c>
      <c r="S238" s="72">
        <f t="shared" si="120"/>
        <v>0</v>
      </c>
    </row>
    <row r="239" spans="1:20" s="73" customFormat="1" ht="38.25">
      <c r="A239" s="100"/>
      <c r="B239" s="17">
        <v>1267</v>
      </c>
      <c r="C239" s="8"/>
      <c r="D239" s="21"/>
      <c r="E239" s="21"/>
      <c r="F239" s="139" t="s">
        <v>126</v>
      </c>
      <c r="G239" s="42">
        <f>G240+G243+G263+G267+G286</f>
        <v>7586650</v>
      </c>
      <c r="H239" s="42">
        <f t="shared" ref="H239:N239" si="124">H240+H243+H263+H267+H286</f>
        <v>2845762.8</v>
      </c>
      <c r="I239" s="42">
        <f t="shared" si="124"/>
        <v>2785776.8</v>
      </c>
      <c r="J239" s="29">
        <f t="shared" si="124"/>
        <v>2804065.89016</v>
      </c>
      <c r="K239" s="29">
        <f>'1.02.'!M216</f>
        <v>60896.595510000006</v>
      </c>
      <c r="L239" s="29">
        <f t="shared" si="124"/>
        <v>720154.62670000002</v>
      </c>
      <c r="M239" s="29">
        <f t="shared" si="124"/>
        <v>2763099.6288200002</v>
      </c>
      <c r="N239" s="29">
        <f t="shared" si="124"/>
        <v>22677.171180000114</v>
      </c>
      <c r="O239" s="68">
        <f t="shared" si="90"/>
        <v>99.185965968989336</v>
      </c>
      <c r="P239" s="35">
        <f t="shared" si="118"/>
        <v>40966.261339999735</v>
      </c>
      <c r="Q239" s="35">
        <f t="shared" si="119"/>
        <v>41696.909839999862</v>
      </c>
      <c r="R239" s="72">
        <v>1103787</v>
      </c>
      <c r="S239" s="72">
        <f t="shared" si="120"/>
        <v>4823550.3711799998</v>
      </c>
      <c r="T239" s="62">
        <f t="shared" si="86"/>
        <v>4782584.10984</v>
      </c>
    </row>
    <row r="240" spans="1:20" ht="25.5">
      <c r="A240" s="103"/>
      <c r="B240" s="8"/>
      <c r="C240" s="17" t="s">
        <v>28</v>
      </c>
      <c r="D240" s="21"/>
      <c r="E240" s="21"/>
      <c r="F240" s="125" t="s">
        <v>127</v>
      </c>
      <c r="G240" s="23">
        <f>G241</f>
        <v>19620</v>
      </c>
      <c r="H240" s="23">
        <f t="shared" ref="H240:O241" si="125">H241</f>
        <v>19620</v>
      </c>
      <c r="I240" s="23">
        <f t="shared" si="125"/>
        <v>0</v>
      </c>
      <c r="J240" s="38">
        <f t="shared" si="125"/>
        <v>0</v>
      </c>
      <c r="K240" s="35">
        <f>'1.02.'!M217</f>
        <v>0</v>
      </c>
      <c r="L240" s="23">
        <f t="shared" si="125"/>
        <v>0</v>
      </c>
      <c r="M240" s="24">
        <f t="shared" si="125"/>
        <v>0</v>
      </c>
      <c r="N240" s="24">
        <f t="shared" si="125"/>
        <v>0</v>
      </c>
      <c r="O240" s="39" t="e">
        <f t="shared" si="125"/>
        <v>#DIV/0!</v>
      </c>
      <c r="P240" s="71">
        <f t="shared" si="118"/>
        <v>0</v>
      </c>
      <c r="Q240" s="35">
        <f>H240-J240</f>
        <v>19620</v>
      </c>
      <c r="R240" s="72">
        <v>1103788</v>
      </c>
      <c r="S240" s="72">
        <f t="shared" si="120"/>
        <v>19620</v>
      </c>
    </row>
    <row r="241" spans="1:20">
      <c r="A241" s="100"/>
      <c r="B241" s="8"/>
      <c r="C241" s="8"/>
      <c r="D241" s="17" t="s">
        <v>7</v>
      </c>
      <c r="E241" s="10"/>
      <c r="F241" s="140" t="s">
        <v>85</v>
      </c>
      <c r="G241" s="59">
        <f>G242</f>
        <v>19620</v>
      </c>
      <c r="H241" s="59">
        <f t="shared" si="125"/>
        <v>19620</v>
      </c>
      <c r="I241" s="59">
        <f t="shared" si="125"/>
        <v>0</v>
      </c>
      <c r="J241" s="59">
        <f t="shared" si="125"/>
        <v>0</v>
      </c>
      <c r="K241" s="35">
        <f>'1.02.'!M218</f>
        <v>0</v>
      </c>
      <c r="L241" s="59">
        <f t="shared" si="125"/>
        <v>0</v>
      </c>
      <c r="M241" s="29">
        <f t="shared" si="125"/>
        <v>0</v>
      </c>
      <c r="N241" s="29">
        <f t="shared" si="125"/>
        <v>0</v>
      </c>
      <c r="O241" s="68" t="e">
        <f>M241/I241*100</f>
        <v>#DIV/0!</v>
      </c>
      <c r="P241" s="71">
        <f t="shared" si="118"/>
        <v>0</v>
      </c>
      <c r="Q241" s="35">
        <f t="shared" si="119"/>
        <v>19620</v>
      </c>
      <c r="R241" s="72">
        <v>1103789</v>
      </c>
      <c r="S241" s="72">
        <f t="shared" si="120"/>
        <v>19620</v>
      </c>
    </row>
    <row r="242" spans="1:20">
      <c r="A242" s="100"/>
      <c r="B242" s="9"/>
      <c r="C242" s="9"/>
      <c r="D242" s="69"/>
      <c r="E242" s="69">
        <v>159</v>
      </c>
      <c r="F242" s="136" t="s">
        <v>84</v>
      </c>
      <c r="G242" s="26">
        <v>19620</v>
      </c>
      <c r="H242" s="26">
        <v>19620</v>
      </c>
      <c r="I242" s="26"/>
      <c r="J242" s="105">
        <f>M242</f>
        <v>0</v>
      </c>
      <c r="K242" s="35">
        <f>'1.02.'!M219</f>
        <v>0</v>
      </c>
      <c r="L242" s="27"/>
      <c r="M242" s="93">
        <f>K242+L242</f>
        <v>0</v>
      </c>
      <c r="N242" s="93">
        <f>I242-M242</f>
        <v>0</v>
      </c>
      <c r="O242" s="70" t="e">
        <f>M242/I242*100</f>
        <v>#DIV/0!</v>
      </c>
      <c r="P242" s="71">
        <f t="shared" si="118"/>
        <v>0</v>
      </c>
      <c r="Q242" s="35">
        <f t="shared" si="119"/>
        <v>19620</v>
      </c>
      <c r="R242" s="72">
        <v>1103790</v>
      </c>
      <c r="S242" s="72">
        <f t="shared" si="120"/>
        <v>19620</v>
      </c>
    </row>
    <row r="243" spans="1:20" s="95" customFormat="1" ht="38.25">
      <c r="A243" s="100"/>
      <c r="B243" s="8"/>
      <c r="C243" s="17" t="s">
        <v>29</v>
      </c>
      <c r="D243" s="21"/>
      <c r="E243" s="21"/>
      <c r="F243" s="139" t="s">
        <v>128</v>
      </c>
      <c r="G243" s="59">
        <f>G244</f>
        <v>1100082</v>
      </c>
      <c r="H243" s="59">
        <f t="shared" ref="H243:N243" si="126">H244</f>
        <v>612905.30000000005</v>
      </c>
      <c r="I243" s="59">
        <f t="shared" si="126"/>
        <v>585617.19999999995</v>
      </c>
      <c r="J243" s="29">
        <f t="shared" si="126"/>
        <v>611715.11887999997</v>
      </c>
      <c r="K243" s="59">
        <f t="shared" si="126"/>
        <v>498259.25451000006</v>
      </c>
      <c r="L243" s="29">
        <f t="shared" si="126"/>
        <v>86097.741699999999</v>
      </c>
      <c r="M243" s="29">
        <f t="shared" si="126"/>
        <v>584356.9962099999</v>
      </c>
      <c r="N243" s="29">
        <f t="shared" si="126"/>
        <v>1260.2037900000578</v>
      </c>
      <c r="O243" s="68">
        <f>M243/I243*100</f>
        <v>99.784807585911068</v>
      </c>
      <c r="P243" s="71">
        <f t="shared" si="118"/>
        <v>27358.12267000007</v>
      </c>
      <c r="Q243" s="35">
        <f t="shared" si="119"/>
        <v>1190.1811200000811</v>
      </c>
      <c r="R243" s="72">
        <v>1103791</v>
      </c>
      <c r="S243" s="72">
        <f t="shared" si="120"/>
        <v>515725.0037900001</v>
      </c>
      <c r="T243" s="62">
        <f t="shared" si="86"/>
        <v>488366.88112000003</v>
      </c>
    </row>
    <row r="244" spans="1:20">
      <c r="A244" s="100"/>
      <c r="B244" s="8"/>
      <c r="C244" s="8"/>
      <c r="D244" s="17" t="s">
        <v>7</v>
      </c>
      <c r="E244" s="10"/>
      <c r="F244" s="67" t="s">
        <v>26</v>
      </c>
      <c r="G244" s="59">
        <f>SUM(G245:G262)</f>
        <v>1100082</v>
      </c>
      <c r="H244" s="59">
        <f>SUM(H245:H262)</f>
        <v>612905.30000000005</v>
      </c>
      <c r="I244" s="59">
        <f t="shared" ref="I244:M244" si="127">SUM(I245:I262)</f>
        <v>585617.19999999995</v>
      </c>
      <c r="J244" s="29">
        <f t="shared" si="127"/>
        <v>611715.11887999997</v>
      </c>
      <c r="K244" s="59">
        <f t="shared" si="127"/>
        <v>498259.25451000006</v>
      </c>
      <c r="L244" s="29">
        <f t="shared" si="127"/>
        <v>86097.741699999999</v>
      </c>
      <c r="M244" s="29">
        <f t="shared" si="127"/>
        <v>584356.9962099999</v>
      </c>
      <c r="N244" s="102">
        <f>I244-M244</f>
        <v>1260.2037900000578</v>
      </c>
      <c r="O244" s="68">
        <f>M244/I244*100</f>
        <v>99.784807585911068</v>
      </c>
      <c r="P244" s="71">
        <f t="shared" si="118"/>
        <v>27358.12267000007</v>
      </c>
      <c r="Q244" s="35">
        <f t="shared" si="119"/>
        <v>1190.1811200000811</v>
      </c>
      <c r="R244" s="72">
        <v>1103792</v>
      </c>
      <c r="S244" s="72">
        <f t="shared" si="120"/>
        <v>515725.0037900001</v>
      </c>
      <c r="T244" s="62">
        <f t="shared" ref="T244:T262" si="128">G244-J244</f>
        <v>488366.88112000003</v>
      </c>
    </row>
    <row r="245" spans="1:20">
      <c r="A245" s="100"/>
      <c r="B245" s="9"/>
      <c r="C245" s="9"/>
      <c r="D245" s="69"/>
      <c r="E245" s="69">
        <v>111</v>
      </c>
      <c r="F245" s="136" t="s">
        <v>86</v>
      </c>
      <c r="G245" s="26">
        <f>686021+106628-28698</f>
        <v>763951</v>
      </c>
      <c r="H245" s="26">
        <v>414802</v>
      </c>
      <c r="I245" s="26">
        <v>414802</v>
      </c>
      <c r="J245" s="105">
        <f>M245</f>
        <v>414802</v>
      </c>
      <c r="K245" s="35">
        <f>'1.07. '!M236</f>
        <v>377000</v>
      </c>
      <c r="L245" s="27">
        <v>37802</v>
      </c>
      <c r="M245" s="93">
        <f t="shared" ref="M245:M272" si="129">K245+L245</f>
        <v>414802</v>
      </c>
      <c r="N245" s="93">
        <f>I245-M245</f>
        <v>0</v>
      </c>
      <c r="O245" s="70">
        <f t="shared" ref="O245:O262" si="130">M245/I245*100</f>
        <v>100</v>
      </c>
      <c r="P245" s="71">
        <f t="shared" si="118"/>
        <v>0</v>
      </c>
      <c r="Q245" s="35">
        <f t="shared" si="119"/>
        <v>0</v>
      </c>
      <c r="R245" s="72">
        <v>1103793</v>
      </c>
      <c r="S245" s="72">
        <f t="shared" si="120"/>
        <v>349149</v>
      </c>
      <c r="T245" s="62">
        <f t="shared" si="128"/>
        <v>349149</v>
      </c>
    </row>
    <row r="246" spans="1:20">
      <c r="A246" s="100"/>
      <c r="B246" s="9"/>
      <c r="C246" s="9"/>
      <c r="D246" s="69"/>
      <c r="E246" s="69">
        <v>112</v>
      </c>
      <c r="F246" s="136" t="s">
        <v>87</v>
      </c>
      <c r="G246" s="26">
        <f>5500+30098</f>
        <v>35598</v>
      </c>
      <c r="H246" s="26">
        <v>35598</v>
      </c>
      <c r="I246" s="26">
        <v>35598</v>
      </c>
      <c r="J246" s="105">
        <f t="shared" ref="J246:J252" si="131">M246</f>
        <v>35598</v>
      </c>
      <c r="K246" s="35">
        <f>'1.07. '!M237</f>
        <v>5500</v>
      </c>
      <c r="L246" s="27">
        <v>30098</v>
      </c>
      <c r="M246" s="93">
        <f t="shared" si="129"/>
        <v>35598</v>
      </c>
      <c r="N246" s="93">
        <f t="shared" ref="N246:N262" si="132">I246-M246</f>
        <v>0</v>
      </c>
      <c r="O246" s="70">
        <f t="shared" si="130"/>
        <v>100</v>
      </c>
      <c r="P246" s="71">
        <f t="shared" si="118"/>
        <v>0</v>
      </c>
      <c r="Q246" s="35">
        <f t="shared" si="119"/>
        <v>0</v>
      </c>
      <c r="R246" s="72">
        <v>1103794</v>
      </c>
      <c r="S246" s="72">
        <f t="shared" si="120"/>
        <v>0</v>
      </c>
    </row>
    <row r="247" spans="1:20">
      <c r="A247" s="100"/>
      <c r="B247" s="9"/>
      <c r="C247" s="9"/>
      <c r="D247" s="69"/>
      <c r="E247" s="76">
        <v>113</v>
      </c>
      <c r="F247" s="136" t="s">
        <v>88</v>
      </c>
      <c r="G247" s="26">
        <v>32776</v>
      </c>
      <c r="H247" s="26">
        <v>15775.6</v>
      </c>
      <c r="I247" s="26">
        <v>15775.6</v>
      </c>
      <c r="J247" s="105">
        <f t="shared" si="131"/>
        <v>15775.6</v>
      </c>
      <c r="K247" s="35">
        <f>'1.07. '!M238</f>
        <v>10198.957</v>
      </c>
      <c r="L247" s="27">
        <v>5576.643</v>
      </c>
      <c r="M247" s="93">
        <f t="shared" si="129"/>
        <v>15775.6</v>
      </c>
      <c r="N247" s="93">
        <f t="shared" si="132"/>
        <v>0</v>
      </c>
      <c r="O247" s="70">
        <f t="shared" si="130"/>
        <v>100</v>
      </c>
      <c r="P247" s="71">
        <f t="shared" si="118"/>
        <v>0</v>
      </c>
      <c r="Q247" s="35">
        <f t="shared" si="119"/>
        <v>0</v>
      </c>
      <c r="R247" s="72">
        <v>1103795</v>
      </c>
      <c r="S247" s="72">
        <f t="shared" si="120"/>
        <v>17000.400000000001</v>
      </c>
      <c r="T247" s="62">
        <f t="shared" si="128"/>
        <v>17000.400000000001</v>
      </c>
    </row>
    <row r="248" spans="1:20">
      <c r="A248" s="100"/>
      <c r="B248" s="9"/>
      <c r="C248" s="9"/>
      <c r="D248" s="69"/>
      <c r="E248" s="69">
        <v>116</v>
      </c>
      <c r="F248" s="136" t="s">
        <v>89</v>
      </c>
      <c r="G248" s="26">
        <f>24011+3925-700</f>
        <v>27236</v>
      </c>
      <c r="H248" s="26">
        <v>12050</v>
      </c>
      <c r="I248" s="26">
        <v>12050</v>
      </c>
      <c r="J248" s="105">
        <v>11607.084999999999</v>
      </c>
      <c r="K248" s="35">
        <f>'1.07. '!M239</f>
        <v>11617.384</v>
      </c>
      <c r="L248" s="27">
        <v>424.31799999999998</v>
      </c>
      <c r="M248" s="93">
        <f>K248+L248</f>
        <v>12041.701999999999</v>
      </c>
      <c r="N248" s="93">
        <f t="shared" si="132"/>
        <v>8.2980000000006839</v>
      </c>
      <c r="O248" s="70">
        <f>M248/I248*100</f>
        <v>99.931136929460578</v>
      </c>
      <c r="P248" s="71">
        <f t="shared" si="118"/>
        <v>-434.61700000000019</v>
      </c>
      <c r="Q248" s="35">
        <f t="shared" si="119"/>
        <v>442.91500000000087</v>
      </c>
      <c r="R248" s="72">
        <v>1103796</v>
      </c>
      <c r="S248" s="72">
        <f t="shared" si="120"/>
        <v>15194.298000000001</v>
      </c>
    </row>
    <row r="249" spans="1:20">
      <c r="A249" s="100"/>
      <c r="B249" s="9"/>
      <c r="C249" s="9"/>
      <c r="D249" s="69"/>
      <c r="E249" s="69">
        <v>121</v>
      </c>
      <c r="F249" s="136" t="s">
        <v>90</v>
      </c>
      <c r="G249" s="26">
        <f>35536+5920</f>
        <v>41456</v>
      </c>
      <c r="H249" s="26">
        <v>21318</v>
      </c>
      <c r="I249" s="26">
        <v>21318</v>
      </c>
      <c r="J249" s="105">
        <f t="shared" si="131"/>
        <v>21318</v>
      </c>
      <c r="K249" s="35">
        <f>'1.07. '!M240</f>
        <v>17765</v>
      </c>
      <c r="L249" s="27">
        <v>3553</v>
      </c>
      <c r="M249" s="93">
        <f>K249+L249</f>
        <v>21318</v>
      </c>
      <c r="N249" s="93">
        <f t="shared" si="132"/>
        <v>0</v>
      </c>
      <c r="O249" s="70">
        <f>M249/I249*100</f>
        <v>100</v>
      </c>
      <c r="P249" s="71">
        <f t="shared" si="118"/>
        <v>0</v>
      </c>
      <c r="Q249" s="35">
        <f t="shared" si="119"/>
        <v>0</v>
      </c>
      <c r="R249" s="72">
        <v>1103797</v>
      </c>
      <c r="S249" s="72">
        <f t="shared" si="120"/>
        <v>20138</v>
      </c>
      <c r="T249" s="62">
        <f t="shared" si="128"/>
        <v>20138</v>
      </c>
    </row>
    <row r="250" spans="1:20">
      <c r="A250" s="100"/>
      <c r="B250" s="9"/>
      <c r="C250" s="9"/>
      <c r="D250" s="69"/>
      <c r="E250" s="69">
        <v>122</v>
      </c>
      <c r="F250" s="136" t="s">
        <v>91</v>
      </c>
      <c r="G250" s="26">
        <f>30871+5046</f>
        <v>35917</v>
      </c>
      <c r="H250" s="26">
        <v>17702</v>
      </c>
      <c r="I250" s="26">
        <v>17702</v>
      </c>
      <c r="J250" s="105">
        <f t="shared" si="131"/>
        <v>17701.674999999999</v>
      </c>
      <c r="K250" s="35">
        <f>'1.07. '!M241</f>
        <v>17005</v>
      </c>
      <c r="L250" s="27">
        <v>696.67499999999995</v>
      </c>
      <c r="M250" s="93">
        <f t="shared" si="129"/>
        <v>17701.674999999999</v>
      </c>
      <c r="N250" s="93">
        <f t="shared" si="132"/>
        <v>0.3250000000007276</v>
      </c>
      <c r="O250" s="70">
        <f t="shared" si="130"/>
        <v>99.998164049259969</v>
      </c>
      <c r="P250" s="71">
        <f t="shared" si="118"/>
        <v>0</v>
      </c>
      <c r="Q250" s="35">
        <f t="shared" si="119"/>
        <v>0.3250000000007276</v>
      </c>
      <c r="R250" s="72">
        <v>1103798</v>
      </c>
      <c r="S250" s="72">
        <f t="shared" si="120"/>
        <v>18215.325000000001</v>
      </c>
      <c r="T250" s="62">
        <f t="shared" si="128"/>
        <v>18215.325000000001</v>
      </c>
    </row>
    <row r="251" spans="1:20">
      <c r="A251" s="100"/>
      <c r="B251" s="9"/>
      <c r="C251" s="9"/>
      <c r="D251" s="69"/>
      <c r="E251" s="69">
        <v>123</v>
      </c>
      <c r="F251" s="136" t="s">
        <v>92</v>
      </c>
      <c r="G251" s="26">
        <v>342</v>
      </c>
      <c r="H251" s="26">
        <v>35</v>
      </c>
      <c r="I251" s="26">
        <v>35</v>
      </c>
      <c r="J251" s="105">
        <f t="shared" si="131"/>
        <v>29.271999999999998</v>
      </c>
      <c r="K251" s="35">
        <f>'1.07. '!M242</f>
        <v>29.271999999999998</v>
      </c>
      <c r="L251" s="27"/>
      <c r="M251" s="93">
        <f t="shared" si="129"/>
        <v>29.271999999999998</v>
      </c>
      <c r="N251" s="93">
        <f t="shared" si="132"/>
        <v>5.7280000000000015</v>
      </c>
      <c r="O251" s="70">
        <f t="shared" si="130"/>
        <v>83.63428571428571</v>
      </c>
      <c r="P251" s="71">
        <f t="shared" si="118"/>
        <v>0</v>
      </c>
      <c r="Q251" s="35">
        <f t="shared" si="119"/>
        <v>5.7280000000000015</v>
      </c>
      <c r="R251" s="72">
        <v>1103799</v>
      </c>
      <c r="S251" s="72">
        <f t="shared" si="120"/>
        <v>312.72800000000001</v>
      </c>
    </row>
    <row r="252" spans="1:20">
      <c r="A252" s="100"/>
      <c r="B252" s="9"/>
      <c r="C252" s="9"/>
      <c r="D252" s="69"/>
      <c r="E252" s="69">
        <v>124</v>
      </c>
      <c r="F252" s="136" t="s">
        <v>93</v>
      </c>
      <c r="G252" s="26">
        <f>20581+3364-700</f>
        <v>23245</v>
      </c>
      <c r="H252" s="26">
        <v>10670</v>
      </c>
      <c r="I252" s="26">
        <v>10670</v>
      </c>
      <c r="J252" s="105">
        <f t="shared" si="131"/>
        <v>10665.455</v>
      </c>
      <c r="K252" s="35">
        <f>'1.07. '!M243</f>
        <v>9975</v>
      </c>
      <c r="L252" s="27">
        <v>690.45500000000004</v>
      </c>
      <c r="M252" s="93">
        <f t="shared" si="129"/>
        <v>10665.455</v>
      </c>
      <c r="N252" s="93">
        <f t="shared" si="132"/>
        <v>4.5450000000000728</v>
      </c>
      <c r="O252" s="70">
        <f t="shared" si="130"/>
        <v>99.957403936269912</v>
      </c>
      <c r="P252" s="71">
        <f t="shared" si="118"/>
        <v>0</v>
      </c>
      <c r="Q252" s="35">
        <f t="shared" si="119"/>
        <v>4.5450000000000728</v>
      </c>
      <c r="R252" s="72">
        <v>1103800</v>
      </c>
      <c r="S252" s="72">
        <f t="shared" si="120"/>
        <v>12579.545</v>
      </c>
      <c r="T252" s="62">
        <f t="shared" si="128"/>
        <v>12579.545</v>
      </c>
    </row>
    <row r="253" spans="1:20">
      <c r="A253" s="100"/>
      <c r="B253" s="9"/>
      <c r="C253" s="9"/>
      <c r="D253" s="69"/>
      <c r="E253" s="69">
        <v>144</v>
      </c>
      <c r="F253" s="136" t="s">
        <v>97</v>
      </c>
      <c r="G253" s="26">
        <f>9873-951.9</f>
        <v>8921.1</v>
      </c>
      <c r="H253" s="26">
        <v>8921.1</v>
      </c>
      <c r="I253" s="26">
        <v>7888.2</v>
      </c>
      <c r="J253" s="105">
        <v>8921.0878400000001</v>
      </c>
      <c r="K253" s="35">
        <f>'1.07. '!M244</f>
        <v>7888.0278399999997</v>
      </c>
      <c r="L253" s="27"/>
      <c r="M253" s="93">
        <f t="shared" si="129"/>
        <v>7888.0278399999997</v>
      </c>
      <c r="N253" s="93">
        <f t="shared" si="132"/>
        <v>0.17216000000007625</v>
      </c>
      <c r="O253" s="70">
        <f t="shared" si="130"/>
        <v>99.997817499556291</v>
      </c>
      <c r="P253" s="71">
        <f t="shared" si="118"/>
        <v>1033.0600000000004</v>
      </c>
      <c r="Q253" s="35">
        <f t="shared" si="119"/>
        <v>1.2160000000221771E-2</v>
      </c>
      <c r="R253" s="72">
        <v>1103801</v>
      </c>
      <c r="S253" s="72">
        <f t="shared" si="120"/>
        <v>1033.0721600000006</v>
      </c>
      <c r="T253" s="62">
        <f t="shared" si="128"/>
        <v>1.2160000000221771E-2</v>
      </c>
    </row>
    <row r="254" spans="1:20">
      <c r="A254" s="100"/>
      <c r="B254" s="9"/>
      <c r="C254" s="9"/>
      <c r="D254" s="69"/>
      <c r="E254" s="69">
        <v>149</v>
      </c>
      <c r="F254" s="136" t="s">
        <v>98</v>
      </c>
      <c r="G254" s="26">
        <f>21813-15179</f>
        <v>6634</v>
      </c>
      <c r="H254" s="26">
        <v>3804.4</v>
      </c>
      <c r="I254" s="26">
        <v>3804.4</v>
      </c>
      <c r="J254" s="105">
        <v>3609.1419099999998</v>
      </c>
      <c r="K254" s="35">
        <f>'1.07. '!M245</f>
        <v>3482.6327700000002</v>
      </c>
      <c r="L254" s="27">
        <v>126.50914</v>
      </c>
      <c r="M254" s="93">
        <f t="shared" si="129"/>
        <v>3609.1419100000003</v>
      </c>
      <c r="N254" s="93">
        <f t="shared" si="132"/>
        <v>195.25808999999981</v>
      </c>
      <c r="O254" s="70">
        <f t="shared" si="130"/>
        <v>94.867572021869421</v>
      </c>
      <c r="P254" s="71">
        <f t="shared" si="118"/>
        <v>0</v>
      </c>
      <c r="Q254" s="35">
        <f t="shared" si="119"/>
        <v>195.25809000000027</v>
      </c>
      <c r="R254" s="72">
        <v>1103802</v>
      </c>
      <c r="S254" s="72">
        <f t="shared" si="120"/>
        <v>3024.8580899999997</v>
      </c>
      <c r="T254" s="62">
        <f t="shared" si="128"/>
        <v>3024.8580900000002</v>
      </c>
    </row>
    <row r="255" spans="1:20">
      <c r="A255" s="100"/>
      <c r="B255" s="9"/>
      <c r="C255" s="9"/>
      <c r="D255" s="69"/>
      <c r="E255" s="69">
        <v>151</v>
      </c>
      <c r="F255" s="136" t="s">
        <v>99</v>
      </c>
      <c r="G255" s="26">
        <f>10168+10000+12000</f>
        <v>32168</v>
      </c>
      <c r="H255" s="26">
        <v>6981.3</v>
      </c>
      <c r="I255" s="26">
        <v>6981.3</v>
      </c>
      <c r="J255" s="105">
        <f>M255</f>
        <v>6981.2649700000002</v>
      </c>
      <c r="K255" s="35">
        <f>'1.07. '!M246</f>
        <v>6520.5305900000003</v>
      </c>
      <c r="L255" s="27">
        <v>460.73437999999999</v>
      </c>
      <c r="M255" s="93">
        <f t="shared" si="129"/>
        <v>6981.2649700000002</v>
      </c>
      <c r="N255" s="93">
        <f t="shared" si="132"/>
        <v>3.5030000000006112E-2</v>
      </c>
      <c r="O255" s="70">
        <f t="shared" si="130"/>
        <v>99.999498230988493</v>
      </c>
      <c r="P255" s="71">
        <f t="shared" si="118"/>
        <v>0</v>
      </c>
      <c r="Q255" s="35">
        <f t="shared" si="119"/>
        <v>3.5030000000006112E-2</v>
      </c>
      <c r="R255" s="72">
        <v>1103803</v>
      </c>
      <c r="S255" s="72">
        <f t="shared" si="120"/>
        <v>25186.73503</v>
      </c>
      <c r="T255" s="62">
        <f t="shared" si="128"/>
        <v>25186.73503</v>
      </c>
    </row>
    <row r="256" spans="1:20">
      <c r="A256" s="100"/>
      <c r="B256" s="9"/>
      <c r="C256" s="9"/>
      <c r="D256" s="69"/>
      <c r="E256" s="69">
        <v>152</v>
      </c>
      <c r="F256" s="136" t="s">
        <v>100</v>
      </c>
      <c r="G256" s="26">
        <f>34000-419.4</f>
        <v>33580.6</v>
      </c>
      <c r="H256" s="26">
        <v>31008.9</v>
      </c>
      <c r="I256" s="26">
        <v>15729.1</v>
      </c>
      <c r="J256" s="105">
        <v>31008.889520000001</v>
      </c>
      <c r="K256" s="35">
        <f>'1.07. '!M247</f>
        <v>13238.27781</v>
      </c>
      <c r="L256" s="27">
        <v>2490.8138399999998</v>
      </c>
      <c r="M256" s="93">
        <f t="shared" si="129"/>
        <v>15729.091649999998</v>
      </c>
      <c r="N256" s="93">
        <f t="shared" si="132"/>
        <v>8.3500000018830178E-3</v>
      </c>
      <c r="O256" s="70">
        <f t="shared" si="130"/>
        <v>99.999946913682265</v>
      </c>
      <c r="P256" s="71">
        <f t="shared" si="118"/>
        <v>15279.797870000002</v>
      </c>
      <c r="Q256" s="35">
        <f t="shared" si="119"/>
        <v>1.0480000000825385E-2</v>
      </c>
      <c r="R256" s="72">
        <v>1103804</v>
      </c>
      <c r="S256" s="72">
        <f t="shared" si="120"/>
        <v>17851.50835</v>
      </c>
      <c r="T256" s="62">
        <f t="shared" si="128"/>
        <v>2571.7104799999979</v>
      </c>
    </row>
    <row r="257" spans="1:20">
      <c r="A257" s="100"/>
      <c r="B257" s="9"/>
      <c r="C257" s="9"/>
      <c r="D257" s="69"/>
      <c r="E257" s="69">
        <v>158</v>
      </c>
      <c r="F257" s="136" t="s">
        <v>101</v>
      </c>
      <c r="G257" s="26">
        <f>3657+330.7</f>
        <v>3987.7</v>
      </c>
      <c r="H257" s="26">
        <v>3987.7</v>
      </c>
      <c r="I257" s="26">
        <v>1995.5</v>
      </c>
      <c r="J257" s="105">
        <v>3987.6156000000001</v>
      </c>
      <c r="K257" s="35">
        <f>'1.07. '!M248</f>
        <v>1661.5065</v>
      </c>
      <c r="L257" s="27">
        <v>332.30130000000003</v>
      </c>
      <c r="M257" s="93">
        <f t="shared" si="129"/>
        <v>1993.8078</v>
      </c>
      <c r="N257" s="93">
        <f t="shared" si="132"/>
        <v>1.6921999999999571</v>
      </c>
      <c r="O257" s="70">
        <f t="shared" si="130"/>
        <v>99.91519919819595</v>
      </c>
      <c r="P257" s="71">
        <f t="shared" si="118"/>
        <v>1993.8078</v>
      </c>
      <c r="Q257" s="35">
        <f t="shared" si="119"/>
        <v>8.4399999999732245E-2</v>
      </c>
      <c r="R257" s="72">
        <v>1103805</v>
      </c>
      <c r="S257" s="72">
        <f t="shared" si="120"/>
        <v>1993.8921999999998</v>
      </c>
      <c r="T257" s="62">
        <f t="shared" si="128"/>
        <v>8.4399999999732245E-2</v>
      </c>
    </row>
    <row r="258" spans="1:20">
      <c r="A258" s="100"/>
      <c r="B258" s="9"/>
      <c r="C258" s="9"/>
      <c r="D258" s="69"/>
      <c r="E258" s="69">
        <v>159</v>
      </c>
      <c r="F258" s="136" t="s">
        <v>84</v>
      </c>
      <c r="G258" s="26">
        <f>28010+419.4+899.9+3321.3+10000</f>
        <v>42650.600000000006</v>
      </c>
      <c r="H258" s="26">
        <v>22572.3</v>
      </c>
      <c r="I258" s="26">
        <v>13589.1</v>
      </c>
      <c r="J258" s="105">
        <v>22081.066040000002</v>
      </c>
      <c r="K258" s="35">
        <f>'1.07. '!M249</f>
        <v>10775.7</v>
      </c>
      <c r="L258" s="27">
        <v>1819.29204</v>
      </c>
      <c r="M258" s="93">
        <f t="shared" si="129"/>
        <v>12594.992040000001</v>
      </c>
      <c r="N258" s="93">
        <f t="shared" si="132"/>
        <v>994.10795999999937</v>
      </c>
      <c r="O258" s="70">
        <f t="shared" si="130"/>
        <v>92.68451950460296</v>
      </c>
      <c r="P258" s="71">
        <f t="shared" si="118"/>
        <v>9486.0740000000005</v>
      </c>
      <c r="Q258" s="35">
        <f t="shared" si="119"/>
        <v>491.23395999999775</v>
      </c>
      <c r="R258" s="72">
        <v>1103806</v>
      </c>
      <c r="S258" s="72">
        <f t="shared" si="120"/>
        <v>30055.607960000005</v>
      </c>
      <c r="T258" s="62">
        <f t="shared" si="128"/>
        <v>20569.533960000004</v>
      </c>
    </row>
    <row r="259" spans="1:20">
      <c r="A259" s="100"/>
      <c r="B259" s="9"/>
      <c r="C259" s="9"/>
      <c r="D259" s="69"/>
      <c r="E259" s="69">
        <v>161</v>
      </c>
      <c r="F259" s="136" t="s">
        <v>102</v>
      </c>
      <c r="G259" s="26">
        <f>9868+50+1527</f>
        <v>11445</v>
      </c>
      <c r="H259" s="26">
        <v>7577</v>
      </c>
      <c r="I259" s="26">
        <v>7577</v>
      </c>
      <c r="J259" s="105">
        <f t="shared" ref="J259:J262" si="133">M259</f>
        <v>7577</v>
      </c>
      <c r="K259" s="35">
        <f>'1.07. '!M250</f>
        <v>5550</v>
      </c>
      <c r="L259" s="27">
        <v>2027</v>
      </c>
      <c r="M259" s="93">
        <f t="shared" si="129"/>
        <v>7577</v>
      </c>
      <c r="N259" s="93">
        <f t="shared" si="132"/>
        <v>0</v>
      </c>
      <c r="O259" s="70">
        <f t="shared" si="130"/>
        <v>100</v>
      </c>
      <c r="P259" s="71">
        <f t="shared" si="118"/>
        <v>0</v>
      </c>
      <c r="Q259" s="35">
        <f t="shared" si="119"/>
        <v>0</v>
      </c>
      <c r="R259" s="72">
        <v>1103807</v>
      </c>
      <c r="S259" s="72">
        <f t="shared" si="120"/>
        <v>3868</v>
      </c>
      <c r="T259" s="62">
        <f t="shared" si="128"/>
        <v>3868</v>
      </c>
    </row>
    <row r="260" spans="1:20">
      <c r="A260" s="100"/>
      <c r="B260" s="9"/>
      <c r="C260" s="9"/>
      <c r="D260" s="69"/>
      <c r="E260" s="69">
        <v>165</v>
      </c>
      <c r="F260" s="3" t="s">
        <v>168</v>
      </c>
      <c r="G260" s="26">
        <v>50</v>
      </c>
      <c r="H260" s="26">
        <v>50</v>
      </c>
      <c r="I260" s="26">
        <v>50</v>
      </c>
      <c r="J260" s="105">
        <f t="shared" si="133"/>
        <v>50</v>
      </c>
      <c r="K260" s="35">
        <f>'1.07. '!M251</f>
        <v>50</v>
      </c>
      <c r="L260" s="27"/>
      <c r="M260" s="93">
        <f t="shared" si="129"/>
        <v>50</v>
      </c>
      <c r="N260" s="93">
        <f t="shared" si="132"/>
        <v>0</v>
      </c>
      <c r="O260" s="70">
        <f t="shared" si="130"/>
        <v>100</v>
      </c>
      <c r="P260" s="71">
        <f t="shared" si="118"/>
        <v>0</v>
      </c>
      <c r="Q260" s="35">
        <f t="shared" si="119"/>
        <v>0</v>
      </c>
      <c r="R260" s="72">
        <v>1103808</v>
      </c>
      <c r="S260" s="72">
        <f t="shared" si="120"/>
        <v>0</v>
      </c>
    </row>
    <row r="261" spans="1:20">
      <c r="A261" s="100"/>
      <c r="B261" s="9"/>
      <c r="C261" s="9"/>
      <c r="D261" s="69"/>
      <c r="E261" s="69">
        <v>168</v>
      </c>
      <c r="F261" s="136" t="s">
        <v>167</v>
      </c>
      <c r="G261" s="26">
        <f>102+2</f>
        <v>104</v>
      </c>
      <c r="H261" s="26">
        <v>32</v>
      </c>
      <c r="I261" s="26">
        <v>32</v>
      </c>
      <c r="J261" s="105">
        <f t="shared" si="133"/>
        <v>1.966</v>
      </c>
      <c r="K261" s="35">
        <f>'1.07. '!M252</f>
        <v>1.966</v>
      </c>
      <c r="L261" s="27"/>
      <c r="M261" s="93">
        <f t="shared" si="129"/>
        <v>1.966</v>
      </c>
      <c r="N261" s="93">
        <f t="shared" si="132"/>
        <v>30.033999999999999</v>
      </c>
      <c r="O261" s="70">
        <f t="shared" si="130"/>
        <v>6.1437499999999998</v>
      </c>
      <c r="P261" s="71">
        <f t="shared" si="118"/>
        <v>0</v>
      </c>
      <c r="Q261" s="35">
        <f t="shared" si="119"/>
        <v>30.033999999999999</v>
      </c>
      <c r="R261" s="72">
        <v>1103809</v>
      </c>
      <c r="S261" s="72">
        <f t="shared" si="120"/>
        <v>102.03400000000001</v>
      </c>
    </row>
    <row r="262" spans="1:20">
      <c r="A262" s="100"/>
      <c r="B262" s="9"/>
      <c r="C262" s="9"/>
      <c r="D262" s="69"/>
      <c r="E262" s="69">
        <v>169</v>
      </c>
      <c r="F262" s="136" t="s">
        <v>103</v>
      </c>
      <c r="G262" s="26">
        <f>172-102-50</f>
        <v>20</v>
      </c>
      <c r="H262" s="26">
        <v>20</v>
      </c>
      <c r="I262" s="26">
        <v>20</v>
      </c>
      <c r="J262" s="105">
        <f t="shared" si="133"/>
        <v>0</v>
      </c>
      <c r="K262" s="35">
        <f>'1.07. '!M253</f>
        <v>0</v>
      </c>
      <c r="L262" s="27"/>
      <c r="M262" s="93">
        <f>K262+L262</f>
        <v>0</v>
      </c>
      <c r="N262" s="93">
        <f t="shared" si="132"/>
        <v>20</v>
      </c>
      <c r="O262" s="70">
        <f t="shared" si="130"/>
        <v>0</v>
      </c>
      <c r="P262" s="71">
        <f t="shared" si="118"/>
        <v>0</v>
      </c>
      <c r="Q262" s="35">
        <f t="shared" si="119"/>
        <v>20</v>
      </c>
      <c r="R262" s="72">
        <v>1103808</v>
      </c>
      <c r="S262" s="72">
        <f t="shared" si="120"/>
        <v>20</v>
      </c>
      <c r="T262" s="62">
        <f t="shared" si="128"/>
        <v>20</v>
      </c>
    </row>
    <row r="263" spans="1:20" ht="25.5">
      <c r="A263" s="100"/>
      <c r="B263" s="15"/>
      <c r="C263" s="57" t="s">
        <v>43</v>
      </c>
      <c r="D263" s="16"/>
      <c r="E263" s="20"/>
      <c r="F263" s="139" t="s">
        <v>119</v>
      </c>
      <c r="G263" s="59">
        <f t="shared" ref="G263:N263" si="134">G264</f>
        <v>23430</v>
      </c>
      <c r="H263" s="59">
        <f t="shared" si="134"/>
        <v>3430</v>
      </c>
      <c r="I263" s="59">
        <f t="shared" si="134"/>
        <v>517.1</v>
      </c>
      <c r="J263" s="29">
        <f t="shared" si="134"/>
        <v>2205.2327599999999</v>
      </c>
      <c r="K263" s="35">
        <f>'1.02.'!M238</f>
        <v>0</v>
      </c>
      <c r="L263" s="29">
        <f t="shared" si="134"/>
        <v>517.03499999999997</v>
      </c>
      <c r="M263" s="29">
        <f t="shared" si="134"/>
        <v>517.03499999999997</v>
      </c>
      <c r="N263" s="29">
        <f t="shared" si="134"/>
        <v>6.500000000005457E-2</v>
      </c>
      <c r="O263" s="70"/>
      <c r="P263" s="71">
        <f t="shared" si="118"/>
        <v>1688.19776</v>
      </c>
      <c r="Q263" s="35">
        <f t="shared" si="119"/>
        <v>1224.7672400000001</v>
      </c>
      <c r="R263" s="72">
        <v>1103809</v>
      </c>
      <c r="S263" s="72">
        <f t="shared" si="120"/>
        <v>22912.965</v>
      </c>
    </row>
    <row r="264" spans="1:20">
      <c r="A264" s="9"/>
      <c r="B264" s="12"/>
      <c r="C264" s="12"/>
      <c r="D264" s="11" t="s">
        <v>7</v>
      </c>
      <c r="E264" s="97"/>
      <c r="F264" s="122" t="s">
        <v>85</v>
      </c>
      <c r="G264" s="98">
        <f>G265+G266</f>
        <v>23430</v>
      </c>
      <c r="H264" s="98">
        <f t="shared" ref="H264:N264" si="135">H265+H266</f>
        <v>3430</v>
      </c>
      <c r="I264" s="98">
        <f t="shared" si="135"/>
        <v>517.1</v>
      </c>
      <c r="J264" s="98">
        <f t="shared" si="135"/>
        <v>2205.2327599999999</v>
      </c>
      <c r="K264" s="35">
        <f>'1.02.'!M239</f>
        <v>0</v>
      </c>
      <c r="L264" s="32">
        <f t="shared" si="135"/>
        <v>517.03499999999997</v>
      </c>
      <c r="M264" s="32">
        <f t="shared" si="135"/>
        <v>517.03499999999997</v>
      </c>
      <c r="N264" s="32">
        <f t="shared" si="135"/>
        <v>6.500000000005457E-2</v>
      </c>
      <c r="O264" s="68">
        <f>M264/I264*100</f>
        <v>99.987429897505308</v>
      </c>
      <c r="P264" s="71">
        <f t="shared" si="118"/>
        <v>1688.19776</v>
      </c>
      <c r="Q264" s="35">
        <f t="shared" si="119"/>
        <v>1224.7672400000001</v>
      </c>
      <c r="R264" s="72">
        <v>1103810</v>
      </c>
      <c r="S264" s="72">
        <f t="shared" si="120"/>
        <v>22912.965</v>
      </c>
      <c r="T264" s="62">
        <f>G264-J264</f>
        <v>21224.767240000001</v>
      </c>
    </row>
    <row r="265" spans="1:20" ht="25.5">
      <c r="A265" s="100"/>
      <c r="B265" s="15"/>
      <c r="C265" s="15"/>
      <c r="D265" s="16"/>
      <c r="E265" s="20">
        <v>414</v>
      </c>
      <c r="F265" s="50" t="s">
        <v>105</v>
      </c>
      <c r="G265" s="37">
        <f>3430-1089.3+20000</f>
        <v>22340.7</v>
      </c>
      <c r="H265" s="37">
        <v>2340.6999999999998</v>
      </c>
      <c r="I265" s="37">
        <v>517.1</v>
      </c>
      <c r="J265" s="75">
        <v>2205.2327599999999</v>
      </c>
      <c r="K265" s="35">
        <f>'1.02.'!M240</f>
        <v>0</v>
      </c>
      <c r="L265" s="35">
        <v>517.03499999999997</v>
      </c>
      <c r="M265" s="93">
        <f>K265+L265</f>
        <v>517.03499999999997</v>
      </c>
      <c r="N265" s="93">
        <f t="shared" ref="N265:N266" si="136">I265-M265</f>
        <v>6.500000000005457E-2</v>
      </c>
      <c r="O265" s="70">
        <f t="shared" ref="O265:O266" si="137">M265/I265*100</f>
        <v>99.987429897505308</v>
      </c>
      <c r="P265" s="71">
        <f t="shared" si="118"/>
        <v>1688.19776</v>
      </c>
      <c r="Q265" s="35">
        <f t="shared" si="119"/>
        <v>135.46723999999995</v>
      </c>
      <c r="R265" s="72">
        <v>1103811</v>
      </c>
      <c r="S265" s="72">
        <f t="shared" si="120"/>
        <v>21823.665000000001</v>
      </c>
    </row>
    <row r="266" spans="1:20">
      <c r="A266" s="100"/>
      <c r="B266" s="15"/>
      <c r="C266" s="15"/>
      <c r="D266" s="16"/>
      <c r="E266" s="20">
        <v>416</v>
      </c>
      <c r="F266" s="3" t="s">
        <v>57</v>
      </c>
      <c r="G266" s="37">
        <v>1089.3</v>
      </c>
      <c r="H266" s="37">
        <v>1089.3</v>
      </c>
      <c r="I266" s="37"/>
      <c r="J266" s="75">
        <f>M266</f>
        <v>0</v>
      </c>
      <c r="K266" s="35">
        <f>'1.02.'!M241</f>
        <v>0</v>
      </c>
      <c r="L266" s="35"/>
      <c r="M266" s="93">
        <f>K266+L266</f>
        <v>0</v>
      </c>
      <c r="N266" s="93">
        <f t="shared" si="136"/>
        <v>0</v>
      </c>
      <c r="O266" s="70" t="e">
        <f t="shared" si="137"/>
        <v>#DIV/0!</v>
      </c>
      <c r="P266" s="71">
        <f t="shared" si="118"/>
        <v>0</v>
      </c>
      <c r="Q266" s="35">
        <f t="shared" si="119"/>
        <v>1089.3</v>
      </c>
      <c r="R266" s="72">
        <v>1103812</v>
      </c>
      <c r="S266" s="72">
        <f t="shared" si="120"/>
        <v>1089.3</v>
      </c>
    </row>
    <row r="267" spans="1:20" s="73" customFormat="1">
      <c r="A267" s="103"/>
      <c r="B267" s="8"/>
      <c r="C267" s="17" t="s">
        <v>30</v>
      </c>
      <c r="D267" s="21"/>
      <c r="E267" s="21"/>
      <c r="F267" s="139" t="s">
        <v>129</v>
      </c>
      <c r="G267" s="23">
        <f>G268+G270+G273</f>
        <v>6433090</v>
      </c>
      <c r="H267" s="23">
        <f>H268+H270+H273</f>
        <v>2203320</v>
      </c>
      <c r="I267" s="23">
        <f t="shared" ref="I267:N267" si="138">I268+I270+I273</f>
        <v>2193155</v>
      </c>
      <c r="J267" s="24">
        <f t="shared" si="138"/>
        <v>2186253.0385199999</v>
      </c>
      <c r="K267" s="24">
        <f t="shared" si="138"/>
        <v>1540793.24761</v>
      </c>
      <c r="L267" s="24">
        <f t="shared" si="138"/>
        <v>633539.85</v>
      </c>
      <c r="M267" s="24">
        <f t="shared" si="138"/>
        <v>2174333.0976100001</v>
      </c>
      <c r="N267" s="24">
        <f t="shared" si="138"/>
        <v>18821.902390000057</v>
      </c>
      <c r="O267" s="68">
        <f>M267/I267*100</f>
        <v>99.141788775075185</v>
      </c>
      <c r="P267" s="71">
        <f t="shared" si="118"/>
        <v>11919.940909999888</v>
      </c>
      <c r="Q267" s="35">
        <f t="shared" si="119"/>
        <v>17066.961480000056</v>
      </c>
      <c r="R267" s="72">
        <v>1103813</v>
      </c>
      <c r="S267" s="72">
        <f t="shared" si="120"/>
        <v>4258756.9023899995</v>
      </c>
      <c r="T267" s="62">
        <f t="shared" ref="T267:T294" si="139">G267-J267</f>
        <v>4246836.9614800001</v>
      </c>
    </row>
    <row r="268" spans="1:20">
      <c r="A268" s="100"/>
      <c r="B268" s="8"/>
      <c r="C268" s="8"/>
      <c r="D268" s="17" t="s">
        <v>31</v>
      </c>
      <c r="E268" s="10"/>
      <c r="F268" s="140" t="s">
        <v>130</v>
      </c>
      <c r="G268" s="59">
        <f>G269</f>
        <v>2411900</v>
      </c>
      <c r="H268" s="59">
        <f t="shared" ref="H268:N268" si="140">H269</f>
        <v>637614</v>
      </c>
      <c r="I268" s="59">
        <f t="shared" si="140"/>
        <v>637614</v>
      </c>
      <c r="J268" s="59">
        <f t="shared" si="140"/>
        <v>637614</v>
      </c>
      <c r="K268" s="29">
        <f t="shared" si="140"/>
        <v>475823</v>
      </c>
      <c r="L268" s="29">
        <f t="shared" si="140"/>
        <v>161791</v>
      </c>
      <c r="M268" s="29">
        <f t="shared" si="140"/>
        <v>637614</v>
      </c>
      <c r="N268" s="29">
        <f t="shared" si="140"/>
        <v>0</v>
      </c>
      <c r="O268" s="68">
        <f t="shared" ref="O268:O285" si="141">M268/I268*100</f>
        <v>100</v>
      </c>
      <c r="P268" s="71">
        <f t="shared" si="118"/>
        <v>0</v>
      </c>
      <c r="Q268" s="35">
        <f t="shared" si="119"/>
        <v>0</v>
      </c>
      <c r="R268" s="72">
        <v>1103814</v>
      </c>
      <c r="S268" s="72">
        <f t="shared" si="120"/>
        <v>1774286</v>
      </c>
      <c r="T268" s="62">
        <f t="shared" si="139"/>
        <v>1774286</v>
      </c>
    </row>
    <row r="269" spans="1:20">
      <c r="A269" s="100"/>
      <c r="B269" s="9"/>
      <c r="C269" s="9"/>
      <c r="D269" s="69"/>
      <c r="E269" s="69">
        <v>159</v>
      </c>
      <c r="F269" s="136" t="s">
        <v>84</v>
      </c>
      <c r="G269" s="26">
        <f>3730007-768592-133813-415702</f>
        <v>2411900</v>
      </c>
      <c r="H269" s="26">
        <v>637614</v>
      </c>
      <c r="I269" s="26">
        <v>637614</v>
      </c>
      <c r="J269" s="105">
        <f>M269</f>
        <v>637614</v>
      </c>
      <c r="K269" s="35">
        <f>'1.07. '!M260</f>
        <v>475823</v>
      </c>
      <c r="L269" s="27">
        <v>161791</v>
      </c>
      <c r="M269" s="93">
        <f t="shared" si="129"/>
        <v>637614</v>
      </c>
      <c r="N269" s="93">
        <f t="shared" ref="N269" si="142">I269-M269</f>
        <v>0</v>
      </c>
      <c r="O269" s="70">
        <f t="shared" si="141"/>
        <v>100</v>
      </c>
      <c r="P269" s="71">
        <f t="shared" si="118"/>
        <v>0</v>
      </c>
      <c r="Q269" s="35">
        <f t="shared" si="119"/>
        <v>0</v>
      </c>
      <c r="R269" s="72">
        <v>1103815</v>
      </c>
      <c r="S269" s="72">
        <f t="shared" si="120"/>
        <v>1774286</v>
      </c>
      <c r="T269" s="62">
        <f t="shared" si="139"/>
        <v>1774286</v>
      </c>
    </row>
    <row r="270" spans="1:20">
      <c r="A270" s="100"/>
      <c r="B270" s="8"/>
      <c r="C270" s="8"/>
      <c r="D270" s="17" t="s">
        <v>32</v>
      </c>
      <c r="E270" s="10"/>
      <c r="F270" s="140" t="s">
        <v>131</v>
      </c>
      <c r="G270" s="59">
        <f>G271+G272</f>
        <v>77035</v>
      </c>
      <c r="H270" s="59">
        <f t="shared" ref="H270:N270" si="143">H271+H272</f>
        <v>37217</v>
      </c>
      <c r="I270" s="59">
        <f t="shared" si="143"/>
        <v>27052</v>
      </c>
      <c r="J270" s="29">
        <f t="shared" si="143"/>
        <v>30970.29449</v>
      </c>
      <c r="K270" s="59">
        <f t="shared" si="143"/>
        <v>13421.998579999999</v>
      </c>
      <c r="L270" s="60">
        <f t="shared" si="143"/>
        <v>5628.3549999999996</v>
      </c>
      <c r="M270" s="29">
        <f t="shared" si="143"/>
        <v>19050.353579999999</v>
      </c>
      <c r="N270" s="29">
        <f t="shared" si="143"/>
        <v>8001.6464200000009</v>
      </c>
      <c r="O270" s="68">
        <f t="shared" ref="O270" si="144">O271</f>
        <v>52.470175705375702</v>
      </c>
      <c r="P270" s="71">
        <f t="shared" si="118"/>
        <v>11919.940910000001</v>
      </c>
      <c r="Q270" s="35">
        <f t="shared" si="119"/>
        <v>6246.7055099999998</v>
      </c>
      <c r="R270" s="72">
        <v>1103816</v>
      </c>
      <c r="S270" s="72">
        <f t="shared" si="120"/>
        <v>57984.646420000005</v>
      </c>
      <c r="T270" s="62">
        <f t="shared" si="139"/>
        <v>46064.70551</v>
      </c>
    </row>
    <row r="271" spans="1:20">
      <c r="A271" s="100"/>
      <c r="B271" s="9"/>
      <c r="C271" s="9"/>
      <c r="D271" s="69"/>
      <c r="E271" s="69">
        <v>159</v>
      </c>
      <c r="F271" s="136" t="s">
        <v>84</v>
      </c>
      <c r="G271" s="26">
        <f>32846+12909</f>
        <v>45755</v>
      </c>
      <c r="H271" s="26">
        <v>27000</v>
      </c>
      <c r="I271" s="26">
        <v>16835</v>
      </c>
      <c r="J271" s="105">
        <v>20753.294989999999</v>
      </c>
      <c r="K271" s="35">
        <f>'1.07. '!M262</f>
        <v>6744.9990799999996</v>
      </c>
      <c r="L271" s="27">
        <v>2088.355</v>
      </c>
      <c r="M271" s="93">
        <f t="shared" si="129"/>
        <v>8833.3540799999992</v>
      </c>
      <c r="N271" s="93">
        <f>I271-M271</f>
        <v>8001.6459200000008</v>
      </c>
      <c r="O271" s="70">
        <f t="shared" si="141"/>
        <v>52.470175705375702</v>
      </c>
      <c r="P271" s="71">
        <f t="shared" si="118"/>
        <v>11919.940909999999</v>
      </c>
      <c r="Q271" s="35">
        <f t="shared" si="119"/>
        <v>6246.7050100000015</v>
      </c>
      <c r="R271" s="72">
        <v>1103817</v>
      </c>
      <c r="S271" s="72">
        <f t="shared" si="120"/>
        <v>36921.645920000003</v>
      </c>
      <c r="T271" s="62">
        <f t="shared" si="139"/>
        <v>25001.705010000001</v>
      </c>
    </row>
    <row r="272" spans="1:20">
      <c r="A272" s="100"/>
      <c r="B272" s="9"/>
      <c r="C272" s="9"/>
      <c r="D272" s="69"/>
      <c r="E272" s="69">
        <v>322</v>
      </c>
      <c r="F272" s="133" t="s">
        <v>82</v>
      </c>
      <c r="G272" s="26">
        <v>31280</v>
      </c>
      <c r="H272" s="26">
        <v>10217</v>
      </c>
      <c r="I272" s="26">
        <v>10217</v>
      </c>
      <c r="J272" s="28">
        <f>M272</f>
        <v>10216.9995</v>
      </c>
      <c r="K272" s="35">
        <f>'1.07. '!M263</f>
        <v>6676.9994999999999</v>
      </c>
      <c r="L272" s="27">
        <v>3540</v>
      </c>
      <c r="M272" s="93">
        <f t="shared" si="129"/>
        <v>10216.9995</v>
      </c>
      <c r="N272" s="93">
        <f>I272-M272</f>
        <v>5.0000000010186341E-4</v>
      </c>
      <c r="O272" s="70">
        <f t="shared" si="141"/>
        <v>99.999995106195556</v>
      </c>
      <c r="P272" s="71">
        <f t="shared" si="118"/>
        <v>0</v>
      </c>
      <c r="Q272" s="35">
        <f t="shared" si="119"/>
        <v>5.0000000010186341E-4</v>
      </c>
      <c r="R272" s="72">
        <v>1103818</v>
      </c>
      <c r="S272" s="72">
        <f t="shared" si="120"/>
        <v>21063.000500000002</v>
      </c>
    </row>
    <row r="273" spans="1:20" ht="25.5">
      <c r="A273" s="100"/>
      <c r="B273" s="8"/>
      <c r="C273" s="8"/>
      <c r="D273" s="17" t="s">
        <v>33</v>
      </c>
      <c r="E273" s="10"/>
      <c r="F273" s="140" t="s">
        <v>132</v>
      </c>
      <c r="G273" s="59">
        <f>G274+G282+G283+G284+G285</f>
        <v>3944155</v>
      </c>
      <c r="H273" s="59">
        <f t="shared" ref="H273:N273" si="145">H274+H282+H283+H284+H285</f>
        <v>1528489</v>
      </c>
      <c r="I273" s="59">
        <f t="shared" si="145"/>
        <v>1528489</v>
      </c>
      <c r="J273" s="29">
        <f t="shared" si="145"/>
        <v>1517668.7440300002</v>
      </c>
      <c r="K273" s="59">
        <f t="shared" si="145"/>
        <v>1051548.2490300001</v>
      </c>
      <c r="L273" s="33">
        <f t="shared" si="145"/>
        <v>466120.495</v>
      </c>
      <c r="M273" s="29">
        <f t="shared" si="145"/>
        <v>1517668.7440300002</v>
      </c>
      <c r="N273" s="29">
        <f t="shared" si="145"/>
        <v>10820.255970000057</v>
      </c>
      <c r="O273" s="68">
        <f>M273/I273*100</f>
        <v>99.292094613045961</v>
      </c>
      <c r="P273" s="71">
        <f t="shared" si="118"/>
        <v>0</v>
      </c>
      <c r="Q273" s="35">
        <f t="shared" si="119"/>
        <v>10820.255969999824</v>
      </c>
      <c r="R273" s="72">
        <v>1103819</v>
      </c>
      <c r="S273" s="72">
        <f t="shared" si="120"/>
        <v>2426486.2559699998</v>
      </c>
      <c r="T273" s="62">
        <f t="shared" si="139"/>
        <v>2426486.2559699998</v>
      </c>
    </row>
    <row r="274" spans="1:20">
      <c r="A274" s="100"/>
      <c r="B274" s="9"/>
      <c r="C274" s="9"/>
      <c r="D274" s="69"/>
      <c r="E274" s="69">
        <v>159</v>
      </c>
      <c r="F274" s="141" t="s">
        <v>84</v>
      </c>
      <c r="G274" s="26">
        <f>SUM(G275:G281)</f>
        <v>3138252</v>
      </c>
      <c r="H274" s="26">
        <f>SUM(H275:H281)</f>
        <v>1179871</v>
      </c>
      <c r="I274" s="26">
        <f>SUM(I275:I281)</f>
        <v>1179871</v>
      </c>
      <c r="J274" s="26">
        <f t="shared" ref="J274:N274" si="146">SUM(J275:J281)</f>
        <v>1179870.9990300001</v>
      </c>
      <c r="K274" s="26">
        <f t="shared" si="146"/>
        <v>994760.99903000006</v>
      </c>
      <c r="L274" s="27">
        <f t="shared" si="146"/>
        <v>185110</v>
      </c>
      <c r="M274" s="27">
        <f t="shared" si="146"/>
        <v>1179870.9990300001</v>
      </c>
      <c r="N274" s="27">
        <f t="shared" si="146"/>
        <v>9.7000005189329386E-4</v>
      </c>
      <c r="O274" s="70">
        <f t="shared" si="141"/>
        <v>99.999999917787633</v>
      </c>
      <c r="P274" s="71">
        <f t="shared" si="118"/>
        <v>0</v>
      </c>
      <c r="Q274" s="35">
        <f t="shared" si="119"/>
        <v>9.6999993547797203E-4</v>
      </c>
      <c r="R274" s="72">
        <v>1103820</v>
      </c>
      <c r="S274" s="72">
        <f t="shared" si="120"/>
        <v>1958381.0009699999</v>
      </c>
      <c r="T274" s="62">
        <f t="shared" si="139"/>
        <v>1958381.0009699999</v>
      </c>
    </row>
    <row r="275" spans="1:20">
      <c r="A275" s="100"/>
      <c r="B275" s="9"/>
      <c r="C275" s="9"/>
      <c r="D275" s="69"/>
      <c r="E275" s="69"/>
      <c r="F275" s="55" t="s">
        <v>49</v>
      </c>
      <c r="G275" s="26">
        <v>1124154</v>
      </c>
      <c r="H275" s="61">
        <f>2050+93053-1993.6+82986.9+75619.1+73890.1+68932.7+67474.8</f>
        <v>462013</v>
      </c>
      <c r="I275" s="61">
        <f>H275</f>
        <v>462013</v>
      </c>
      <c r="J275" s="105">
        <f>M275</f>
        <v>462013</v>
      </c>
      <c r="K275" s="35">
        <f>'1.07. '!M266</f>
        <v>394538.2</v>
      </c>
      <c r="L275" s="61">
        <v>67474.8</v>
      </c>
      <c r="M275" s="93">
        <f>K275+L275</f>
        <v>462013</v>
      </c>
      <c r="N275" s="93">
        <f t="shared" ref="N275:N281" si="147">I275-M275</f>
        <v>0</v>
      </c>
      <c r="O275" s="70">
        <f t="shared" si="141"/>
        <v>100</v>
      </c>
      <c r="P275" s="71">
        <f t="shared" si="118"/>
        <v>0</v>
      </c>
      <c r="Q275" s="35">
        <f t="shared" si="119"/>
        <v>0</v>
      </c>
      <c r="R275" s="72">
        <v>1103821</v>
      </c>
      <c r="S275" s="72">
        <f t="shared" si="120"/>
        <v>662141</v>
      </c>
    </row>
    <row r="276" spans="1:20">
      <c r="A276" s="100"/>
      <c r="B276" s="9"/>
      <c r="C276" s="9"/>
      <c r="D276" s="69"/>
      <c r="E276" s="69"/>
      <c r="F276" s="55" t="s">
        <v>50</v>
      </c>
      <c r="G276" s="26">
        <v>130399</v>
      </c>
      <c r="H276" s="61">
        <f>26080-3722.9+19165.6+15755.3+13651.8+12342.2+11584.1</f>
        <v>94856.1</v>
      </c>
      <c r="I276" s="61">
        <f t="shared" ref="I276:I281" si="148">H276</f>
        <v>94856.1</v>
      </c>
      <c r="J276" s="105">
        <f t="shared" ref="J276:J282" si="149">M276</f>
        <v>94856.1</v>
      </c>
      <c r="K276" s="35">
        <f>'1.07. '!M267</f>
        <v>83272</v>
      </c>
      <c r="L276" s="61">
        <v>11584.1</v>
      </c>
      <c r="M276" s="93">
        <f t="shared" ref="M276:M281" si="150">K276+L276</f>
        <v>94856.1</v>
      </c>
      <c r="N276" s="93">
        <f t="shared" si="147"/>
        <v>0</v>
      </c>
      <c r="O276" s="70">
        <f t="shared" si="141"/>
        <v>100</v>
      </c>
      <c r="P276" s="71">
        <f t="shared" si="118"/>
        <v>0</v>
      </c>
      <c r="Q276" s="35">
        <f t="shared" si="119"/>
        <v>0</v>
      </c>
      <c r="R276" s="72">
        <v>1103822</v>
      </c>
      <c r="S276" s="72">
        <f t="shared" si="120"/>
        <v>35542.899999999994</v>
      </c>
    </row>
    <row r="277" spans="1:20">
      <c r="A277" s="100"/>
      <c r="B277" s="9"/>
      <c r="C277" s="9"/>
      <c r="D277" s="69"/>
      <c r="E277" s="69"/>
      <c r="F277" s="55" t="s">
        <v>51</v>
      </c>
      <c r="G277" s="26"/>
      <c r="H277" s="61"/>
      <c r="I277" s="61">
        <f t="shared" si="148"/>
        <v>0</v>
      </c>
      <c r="J277" s="105">
        <f t="shared" si="149"/>
        <v>0</v>
      </c>
      <c r="K277" s="35">
        <f>'1.07. '!M268</f>
        <v>0</v>
      </c>
      <c r="L277" s="61"/>
      <c r="M277" s="93">
        <f t="shared" si="150"/>
        <v>0</v>
      </c>
      <c r="N277" s="93">
        <f t="shared" si="147"/>
        <v>0</v>
      </c>
      <c r="O277" s="70" t="e">
        <f t="shared" si="141"/>
        <v>#DIV/0!</v>
      </c>
      <c r="P277" s="71">
        <f t="shared" si="118"/>
        <v>0</v>
      </c>
      <c r="Q277" s="35">
        <f t="shared" si="119"/>
        <v>0</v>
      </c>
      <c r="R277" s="72">
        <v>1103823</v>
      </c>
      <c r="S277" s="72">
        <f t="shared" si="120"/>
        <v>0</v>
      </c>
    </row>
    <row r="278" spans="1:20">
      <c r="A278" s="100"/>
      <c r="B278" s="9"/>
      <c r="C278" s="9"/>
      <c r="D278" s="69"/>
      <c r="E278" s="69"/>
      <c r="F278" s="55" t="s">
        <v>52</v>
      </c>
      <c r="G278" s="26"/>
      <c r="H278" s="61"/>
      <c r="I278" s="61">
        <f t="shared" si="148"/>
        <v>0</v>
      </c>
      <c r="J278" s="105">
        <f t="shared" si="149"/>
        <v>0</v>
      </c>
      <c r="K278" s="35">
        <f>'1.07. '!M269</f>
        <v>0</v>
      </c>
      <c r="L278" s="61"/>
      <c r="M278" s="93">
        <f t="shared" si="150"/>
        <v>0</v>
      </c>
      <c r="N278" s="93">
        <f t="shared" si="147"/>
        <v>0</v>
      </c>
      <c r="O278" s="70" t="e">
        <f t="shared" si="141"/>
        <v>#DIV/0!</v>
      </c>
      <c r="P278" s="71">
        <f t="shared" si="118"/>
        <v>0</v>
      </c>
      <c r="Q278" s="35">
        <f t="shared" si="119"/>
        <v>0</v>
      </c>
      <c r="R278" s="72">
        <v>1103824</v>
      </c>
      <c r="S278" s="72">
        <f t="shared" si="120"/>
        <v>0</v>
      </c>
    </row>
    <row r="279" spans="1:20">
      <c r="A279" s="100"/>
      <c r="B279" s="9"/>
      <c r="C279" s="9"/>
      <c r="D279" s="69"/>
      <c r="E279" s="69"/>
      <c r="F279" s="55" t="s">
        <v>53</v>
      </c>
      <c r="G279" s="26">
        <v>236664</v>
      </c>
      <c r="H279" s="61">
        <f>2906-1667.6+4700+5843.7+9331.6+10362.3+11803.4</f>
        <v>43279.399999999994</v>
      </c>
      <c r="I279" s="61">
        <f t="shared" si="148"/>
        <v>43279.399999999994</v>
      </c>
      <c r="J279" s="105">
        <f t="shared" si="149"/>
        <v>43279.399999999994</v>
      </c>
      <c r="K279" s="35">
        <f>'1.07. '!M270</f>
        <v>31475.999999999996</v>
      </c>
      <c r="L279" s="61">
        <v>11803.4</v>
      </c>
      <c r="M279" s="93">
        <f t="shared" si="150"/>
        <v>43279.399999999994</v>
      </c>
      <c r="N279" s="93">
        <f t="shared" si="147"/>
        <v>0</v>
      </c>
      <c r="O279" s="70">
        <f t="shared" si="141"/>
        <v>100</v>
      </c>
      <c r="P279" s="71">
        <f t="shared" si="118"/>
        <v>0</v>
      </c>
      <c r="Q279" s="35">
        <f t="shared" si="119"/>
        <v>0</v>
      </c>
      <c r="R279" s="72">
        <v>1103825</v>
      </c>
      <c r="S279" s="72">
        <f t="shared" si="120"/>
        <v>193384.6</v>
      </c>
    </row>
    <row r="280" spans="1:20">
      <c r="A280" s="100"/>
      <c r="B280" s="9"/>
      <c r="C280" s="9"/>
      <c r="D280" s="69"/>
      <c r="E280" s="69"/>
      <c r="F280" s="55" t="s">
        <v>54</v>
      </c>
      <c r="G280" s="26">
        <v>27612</v>
      </c>
      <c r="H280" s="61">
        <f>2111-228.7+1923.4+1926.2+1992.5+2070+2252</f>
        <v>12046.4</v>
      </c>
      <c r="I280" s="61">
        <f t="shared" si="148"/>
        <v>12046.4</v>
      </c>
      <c r="J280" s="105">
        <f t="shared" si="149"/>
        <v>12046.4</v>
      </c>
      <c r="K280" s="35">
        <f>'1.07. '!M271</f>
        <v>9794.4</v>
      </c>
      <c r="L280" s="61">
        <v>2252</v>
      </c>
      <c r="M280" s="93">
        <f t="shared" si="150"/>
        <v>12046.4</v>
      </c>
      <c r="N280" s="93">
        <f t="shared" si="147"/>
        <v>0</v>
      </c>
      <c r="O280" s="70">
        <f t="shared" si="141"/>
        <v>100</v>
      </c>
      <c r="P280" s="71">
        <f t="shared" si="118"/>
        <v>0</v>
      </c>
      <c r="Q280" s="35">
        <f t="shared" si="119"/>
        <v>0</v>
      </c>
      <c r="R280" s="72">
        <v>1103826</v>
      </c>
      <c r="S280" s="72">
        <f t="shared" si="120"/>
        <v>15565.6</v>
      </c>
    </row>
    <row r="281" spans="1:20">
      <c r="A281" s="100"/>
      <c r="B281" s="9"/>
      <c r="C281" s="9"/>
      <c r="D281" s="69"/>
      <c r="E281" s="69"/>
      <c r="F281" s="55" t="s">
        <v>55</v>
      </c>
      <c r="G281" s="26">
        <f>1186640+432783</f>
        <v>1619423</v>
      </c>
      <c r="H281" s="61">
        <f>101338-7295.2+96749.1+95542.4+95417+93929.1+91995.7</f>
        <v>567676.1</v>
      </c>
      <c r="I281" s="61">
        <f t="shared" si="148"/>
        <v>567676.1</v>
      </c>
      <c r="J281" s="105">
        <f t="shared" si="149"/>
        <v>567676.09902999992</v>
      </c>
      <c r="K281" s="35">
        <f>'1.07. '!M272</f>
        <v>475680.39902999997</v>
      </c>
      <c r="L281" s="61">
        <v>91995.7</v>
      </c>
      <c r="M281" s="93">
        <f t="shared" si="150"/>
        <v>567676.09902999992</v>
      </c>
      <c r="N281" s="93">
        <f t="shared" si="147"/>
        <v>9.7000005189329386E-4</v>
      </c>
      <c r="O281" s="70">
        <f t="shared" si="141"/>
        <v>99.999999829127901</v>
      </c>
      <c r="P281" s="71">
        <f t="shared" si="118"/>
        <v>0</v>
      </c>
      <c r="Q281" s="35">
        <f t="shared" si="119"/>
        <v>9.7000005189329386E-4</v>
      </c>
      <c r="R281" s="72">
        <v>1103827</v>
      </c>
      <c r="S281" s="72">
        <f t="shared" si="120"/>
        <v>1051746.9009700001</v>
      </c>
    </row>
    <row r="282" spans="1:20">
      <c r="A282" s="100"/>
      <c r="B282" s="9"/>
      <c r="C282" s="9"/>
      <c r="D282" s="69"/>
      <c r="E282" s="69">
        <v>169</v>
      </c>
      <c r="F282" s="136" t="s">
        <v>103</v>
      </c>
      <c r="G282" s="26">
        <f>503430+67470-570900</f>
        <v>0</v>
      </c>
      <c r="H282" s="26"/>
      <c r="I282" s="26"/>
      <c r="J282" s="105">
        <f t="shared" si="149"/>
        <v>0</v>
      </c>
      <c r="K282" s="35">
        <f>'1.07. '!M273</f>
        <v>0</v>
      </c>
      <c r="L282" s="27"/>
      <c r="M282" s="93">
        <f>K282+L282</f>
        <v>0</v>
      </c>
      <c r="N282" s="93">
        <f>I282-M282</f>
        <v>0</v>
      </c>
      <c r="O282" s="70" t="e">
        <f t="shared" si="141"/>
        <v>#DIV/0!</v>
      </c>
      <c r="P282" s="71">
        <f t="shared" si="118"/>
        <v>0</v>
      </c>
      <c r="Q282" s="35">
        <f t="shared" si="119"/>
        <v>0</v>
      </c>
      <c r="R282" s="72">
        <v>1103828</v>
      </c>
      <c r="S282" s="72">
        <f t="shared" si="120"/>
        <v>0</v>
      </c>
      <c r="T282" s="62">
        <f t="shared" si="139"/>
        <v>0</v>
      </c>
    </row>
    <row r="283" spans="1:20" ht="25.5">
      <c r="A283" s="100"/>
      <c r="B283" s="9"/>
      <c r="C283" s="9"/>
      <c r="D283" s="69"/>
      <c r="E283" s="69">
        <v>311</v>
      </c>
      <c r="F283" s="3" t="s">
        <v>133</v>
      </c>
      <c r="G283" s="26"/>
      <c r="H283" s="26"/>
      <c r="I283" s="26"/>
      <c r="J283" s="105">
        <f>M283</f>
        <v>0</v>
      </c>
      <c r="K283" s="35">
        <f>'1.07. '!M274</f>
        <v>0</v>
      </c>
      <c r="L283" s="27"/>
      <c r="M283" s="93">
        <f>K283+L283</f>
        <v>0</v>
      </c>
      <c r="N283" s="93">
        <f>I283-M283</f>
        <v>0</v>
      </c>
      <c r="O283" s="70" t="e">
        <f t="shared" si="141"/>
        <v>#DIV/0!</v>
      </c>
      <c r="P283" s="71">
        <f t="shared" si="118"/>
        <v>0</v>
      </c>
      <c r="Q283" s="35">
        <f t="shared" si="119"/>
        <v>0</v>
      </c>
      <c r="R283" s="72">
        <v>1103829</v>
      </c>
      <c r="S283" s="72">
        <f t="shared" si="120"/>
        <v>0</v>
      </c>
    </row>
    <row r="284" spans="1:20">
      <c r="A284" s="100"/>
      <c r="B284" s="9"/>
      <c r="C284" s="9"/>
      <c r="D284" s="69"/>
      <c r="E284" s="69">
        <v>313</v>
      </c>
      <c r="F284" s="3" t="s">
        <v>165</v>
      </c>
      <c r="G284" s="26">
        <f>10853+224150</f>
        <v>235003</v>
      </c>
      <c r="H284" s="26">
        <v>71818</v>
      </c>
      <c r="I284" s="26">
        <v>71818</v>
      </c>
      <c r="J284" s="105">
        <f>M284</f>
        <v>64788.5</v>
      </c>
      <c r="K284" s="35">
        <f>'1.07. '!M275</f>
        <v>56787.25</v>
      </c>
      <c r="L284" s="27">
        <v>8001.25</v>
      </c>
      <c r="M284" s="93">
        <f>K284+L284</f>
        <v>64788.5</v>
      </c>
      <c r="N284" s="93">
        <f>I284-M284</f>
        <v>7029.5</v>
      </c>
      <c r="O284" s="70">
        <f t="shared" si="141"/>
        <v>90.21206382800969</v>
      </c>
      <c r="P284" s="71">
        <f t="shared" si="118"/>
        <v>0</v>
      </c>
      <c r="Q284" s="35">
        <f t="shared" si="119"/>
        <v>7029.5</v>
      </c>
      <c r="R284" s="72">
        <v>1103829</v>
      </c>
      <c r="S284" s="72">
        <f t="shared" si="120"/>
        <v>170214.5</v>
      </c>
    </row>
    <row r="285" spans="1:20" ht="25.5">
      <c r="A285" s="100"/>
      <c r="B285" s="9"/>
      <c r="C285" s="9"/>
      <c r="D285" s="69"/>
      <c r="E285" s="69">
        <v>372</v>
      </c>
      <c r="F285" s="3" t="s">
        <v>169</v>
      </c>
      <c r="G285" s="26">
        <v>570900</v>
      </c>
      <c r="H285" s="26">
        <v>276800</v>
      </c>
      <c r="I285" s="26">
        <v>276800</v>
      </c>
      <c r="J285" s="105">
        <f>M285</f>
        <v>273009.245</v>
      </c>
      <c r="K285" s="35">
        <f>'1.07. '!M276</f>
        <v>0</v>
      </c>
      <c r="L285" s="27">
        <v>273009.245</v>
      </c>
      <c r="M285" s="93">
        <f>K285+L285</f>
        <v>273009.245</v>
      </c>
      <c r="N285" s="93">
        <f>I285-M285</f>
        <v>3790.7550000000047</v>
      </c>
      <c r="O285" s="70">
        <f t="shared" si="141"/>
        <v>98.630507586705193</v>
      </c>
      <c r="P285" s="71">
        <f t="shared" si="118"/>
        <v>0</v>
      </c>
      <c r="Q285" s="35">
        <f t="shared" si="119"/>
        <v>3790.7550000000047</v>
      </c>
      <c r="R285" s="72">
        <v>1103830</v>
      </c>
      <c r="S285" s="72">
        <f t="shared" si="120"/>
        <v>297890.755</v>
      </c>
    </row>
    <row r="286" spans="1:20" s="73" customFormat="1" ht="25.5">
      <c r="A286" s="103"/>
      <c r="B286" s="8"/>
      <c r="C286" s="17" t="s">
        <v>34</v>
      </c>
      <c r="D286" s="21"/>
      <c r="E286" s="21"/>
      <c r="F286" s="125" t="s">
        <v>134</v>
      </c>
      <c r="G286" s="23">
        <f>G287</f>
        <v>10428</v>
      </c>
      <c r="H286" s="23">
        <f t="shared" ref="H286:O286" si="151">H287</f>
        <v>6487.5</v>
      </c>
      <c r="I286" s="23">
        <f t="shared" si="151"/>
        <v>6487.5</v>
      </c>
      <c r="J286" s="38">
        <f t="shared" si="151"/>
        <v>3892.5</v>
      </c>
      <c r="K286" s="38">
        <f t="shared" si="151"/>
        <v>3892.5</v>
      </c>
      <c r="L286" s="23">
        <f t="shared" si="151"/>
        <v>0</v>
      </c>
      <c r="M286" s="24">
        <f t="shared" si="151"/>
        <v>3892.5</v>
      </c>
      <c r="N286" s="24">
        <f t="shared" si="151"/>
        <v>2595</v>
      </c>
      <c r="O286" s="39">
        <f t="shared" si="151"/>
        <v>60</v>
      </c>
      <c r="P286" s="71">
        <f t="shared" si="118"/>
        <v>0</v>
      </c>
      <c r="Q286" s="35">
        <f t="shared" si="119"/>
        <v>2595</v>
      </c>
      <c r="R286" s="72">
        <v>1103830</v>
      </c>
      <c r="S286" s="72">
        <f t="shared" si="120"/>
        <v>6535.5</v>
      </c>
      <c r="T286" s="62">
        <f t="shared" si="139"/>
        <v>6535.5</v>
      </c>
    </row>
    <row r="287" spans="1:20">
      <c r="A287" s="100"/>
      <c r="B287" s="8"/>
      <c r="C287" s="8"/>
      <c r="D287" s="17" t="s">
        <v>7</v>
      </c>
      <c r="E287" s="10"/>
      <c r="F287" s="135" t="s">
        <v>85</v>
      </c>
      <c r="G287" s="59">
        <f>G288+G289</f>
        <v>10428</v>
      </c>
      <c r="H287" s="59">
        <f t="shared" ref="H287:N287" si="152">H288+H289</f>
        <v>6487.5</v>
      </c>
      <c r="I287" s="59">
        <f t="shared" si="152"/>
        <v>6487.5</v>
      </c>
      <c r="J287" s="59">
        <f t="shared" si="152"/>
        <v>3892.5</v>
      </c>
      <c r="K287" s="59">
        <f t="shared" si="152"/>
        <v>3892.5</v>
      </c>
      <c r="L287" s="59">
        <f t="shared" si="152"/>
        <v>0</v>
      </c>
      <c r="M287" s="29">
        <f t="shared" si="152"/>
        <v>3892.5</v>
      </c>
      <c r="N287" s="29">
        <f t="shared" si="152"/>
        <v>2595</v>
      </c>
      <c r="O287" s="68">
        <f>M287/I287*100</f>
        <v>60</v>
      </c>
      <c r="P287" s="71">
        <f t="shared" si="118"/>
        <v>0</v>
      </c>
      <c r="Q287" s="35">
        <f t="shared" si="119"/>
        <v>2595</v>
      </c>
      <c r="R287" s="72">
        <v>1103831</v>
      </c>
      <c r="S287" s="72">
        <f t="shared" si="120"/>
        <v>6535.5</v>
      </c>
      <c r="T287" s="62">
        <f t="shared" si="139"/>
        <v>6535.5</v>
      </c>
    </row>
    <row r="288" spans="1:20" ht="25.5">
      <c r="A288" s="100"/>
      <c r="B288" s="9"/>
      <c r="C288" s="9"/>
      <c r="D288" s="69"/>
      <c r="E288" s="69">
        <v>311</v>
      </c>
      <c r="F288" s="142" t="s">
        <v>133</v>
      </c>
      <c r="G288" s="26">
        <f>10428-10428</f>
        <v>0</v>
      </c>
      <c r="H288" s="26"/>
      <c r="I288" s="26"/>
      <c r="J288" s="105">
        <f>M288</f>
        <v>0</v>
      </c>
      <c r="K288" s="35">
        <f>'1.07. '!M279</f>
        <v>0</v>
      </c>
      <c r="L288" s="27"/>
      <c r="M288" s="93">
        <f>K288+L288</f>
        <v>0</v>
      </c>
      <c r="N288" s="93">
        <f>I288-M288</f>
        <v>0</v>
      </c>
      <c r="O288" s="70" t="e">
        <f>M288/I288*100</f>
        <v>#DIV/0!</v>
      </c>
      <c r="P288" s="71">
        <f t="shared" si="118"/>
        <v>0</v>
      </c>
      <c r="Q288" s="35">
        <f t="shared" si="119"/>
        <v>0</v>
      </c>
      <c r="R288" s="72">
        <v>1103832</v>
      </c>
      <c r="S288" s="72">
        <f t="shared" si="120"/>
        <v>0</v>
      </c>
      <c r="T288" s="62">
        <f t="shared" si="139"/>
        <v>0</v>
      </c>
    </row>
    <row r="289" spans="1:20">
      <c r="A289" s="100"/>
      <c r="B289" s="9"/>
      <c r="C289" s="9"/>
      <c r="D289" s="69"/>
      <c r="E289" s="69">
        <v>312</v>
      </c>
      <c r="F289" s="3" t="s">
        <v>166</v>
      </c>
      <c r="G289" s="26">
        <v>10428</v>
      </c>
      <c r="H289" s="26">
        <v>6487.5</v>
      </c>
      <c r="I289" s="26">
        <v>6487.5</v>
      </c>
      <c r="J289" s="105">
        <f>M289</f>
        <v>3892.5</v>
      </c>
      <c r="K289" s="35">
        <f>'1.07. '!M280</f>
        <v>3892.5</v>
      </c>
      <c r="L289" s="27"/>
      <c r="M289" s="93">
        <f>K289+L289</f>
        <v>3892.5</v>
      </c>
      <c r="N289" s="93">
        <f>I289-M289</f>
        <v>2595</v>
      </c>
      <c r="O289" s="70">
        <f>M289/I289*100</f>
        <v>60</v>
      </c>
      <c r="P289" s="71">
        <f t="shared" si="118"/>
        <v>0</v>
      </c>
      <c r="Q289" s="35">
        <f t="shared" si="119"/>
        <v>2595</v>
      </c>
      <c r="R289" s="72">
        <v>1103833</v>
      </c>
      <c r="S289" s="72">
        <f t="shared" si="120"/>
        <v>6535.5</v>
      </c>
    </row>
    <row r="290" spans="1:20" s="73" customFormat="1" ht="25.5">
      <c r="A290" s="8"/>
      <c r="B290" s="58">
        <v>1268</v>
      </c>
      <c r="C290" s="8"/>
      <c r="D290" s="21"/>
      <c r="E290" s="21"/>
      <c r="F290" s="143" t="s">
        <v>135</v>
      </c>
      <c r="G290" s="59">
        <f>G291+G319</f>
        <v>662210</v>
      </c>
      <c r="H290" s="59">
        <f t="shared" ref="H290:N290" si="153">H291+H319</f>
        <v>248669.50000000006</v>
      </c>
      <c r="I290" s="59">
        <f t="shared" si="153"/>
        <v>198854</v>
      </c>
      <c r="J290" s="29">
        <f t="shared" si="153"/>
        <v>247717.07758000001</v>
      </c>
      <c r="K290" s="29">
        <f>'1.02.'!M262</f>
        <v>2434.3649999999998</v>
      </c>
      <c r="L290" s="60">
        <f t="shared" si="153"/>
        <v>72514.214479999995</v>
      </c>
      <c r="M290" s="29">
        <f t="shared" si="153"/>
        <v>190484.10451999999</v>
      </c>
      <c r="N290" s="29">
        <f t="shared" si="153"/>
        <v>8369.8954799999992</v>
      </c>
      <c r="O290" s="68">
        <f t="shared" ref="O290:O294" si="154">M290/I290*100</f>
        <v>95.790934313617029</v>
      </c>
      <c r="P290" s="71">
        <f t="shared" si="118"/>
        <v>57232.973060000018</v>
      </c>
      <c r="Q290" s="35">
        <f t="shared" si="119"/>
        <v>952.42242000004626</v>
      </c>
      <c r="R290" s="72">
        <v>1103833</v>
      </c>
      <c r="S290" s="72">
        <f t="shared" si="120"/>
        <v>471725.89548000001</v>
      </c>
      <c r="T290" s="62">
        <f t="shared" si="139"/>
        <v>414492.92241999996</v>
      </c>
    </row>
    <row r="291" spans="1:20" ht="38.25">
      <c r="A291" s="8"/>
      <c r="B291" s="8"/>
      <c r="C291" s="17" t="s">
        <v>38</v>
      </c>
      <c r="D291" s="17"/>
      <c r="E291" s="21"/>
      <c r="F291" s="139" t="s">
        <v>121</v>
      </c>
      <c r="G291" s="42">
        <f>G299</f>
        <v>605263</v>
      </c>
      <c r="H291" s="42">
        <f t="shared" ref="H291:N291" si="155">H299</f>
        <v>217597.40000000005</v>
      </c>
      <c r="I291" s="42">
        <f t="shared" si="155"/>
        <v>167906.9</v>
      </c>
      <c r="J291" s="42">
        <f t="shared" si="155"/>
        <v>216824.46616000001</v>
      </c>
      <c r="K291" s="29">
        <f>'1.02.'!M263</f>
        <v>2434.3649999999998</v>
      </c>
      <c r="L291" s="60">
        <f t="shared" si="155"/>
        <v>65206.164379999995</v>
      </c>
      <c r="M291" s="29">
        <f t="shared" si="155"/>
        <v>163130.84730999998</v>
      </c>
      <c r="N291" s="29">
        <f t="shared" si="155"/>
        <v>4776.0526900000004</v>
      </c>
      <c r="O291" s="68">
        <f t="shared" si="154"/>
        <v>97.155535186463453</v>
      </c>
      <c r="P291" s="71">
        <f t="shared" si="118"/>
        <v>53693.618850000028</v>
      </c>
      <c r="Q291" s="35">
        <f t="shared" si="119"/>
        <v>772.93384000004153</v>
      </c>
      <c r="R291" s="72">
        <v>1103834</v>
      </c>
      <c r="S291" s="72">
        <f t="shared" si="120"/>
        <v>442132.15269000002</v>
      </c>
      <c r="T291" s="62">
        <f t="shared" si="139"/>
        <v>388438.53383999999</v>
      </c>
    </row>
    <row r="292" spans="1:20" hidden="1">
      <c r="A292" s="8"/>
      <c r="B292" s="8"/>
      <c r="C292" s="8"/>
      <c r="D292" s="17" t="s">
        <v>28</v>
      </c>
      <c r="E292" s="10"/>
      <c r="F292" s="135" t="s">
        <v>85</v>
      </c>
      <c r="G292" s="42">
        <f>SUM(G293:G298)</f>
        <v>0</v>
      </c>
      <c r="H292" s="42">
        <f t="shared" ref="H292:N292" si="156">SUM(H293:H298)</f>
        <v>0</v>
      </c>
      <c r="I292" s="42">
        <f t="shared" si="156"/>
        <v>0</v>
      </c>
      <c r="J292" s="33" t="e">
        <f t="shared" si="156"/>
        <v>#REF!</v>
      </c>
      <c r="K292" s="29" t="e">
        <f>'1.02.'!M264</f>
        <v>#REF!</v>
      </c>
      <c r="L292" s="33">
        <f t="shared" si="156"/>
        <v>0</v>
      </c>
      <c r="M292" s="29" t="e">
        <f t="shared" si="156"/>
        <v>#REF!</v>
      </c>
      <c r="N292" s="29" t="e">
        <f t="shared" si="156"/>
        <v>#REF!</v>
      </c>
      <c r="O292" s="68" t="e">
        <f t="shared" si="154"/>
        <v>#REF!</v>
      </c>
      <c r="P292" s="71" t="e">
        <f t="shared" si="118"/>
        <v>#REF!</v>
      </c>
      <c r="Q292" s="35" t="e">
        <f t="shared" si="119"/>
        <v>#REF!</v>
      </c>
      <c r="R292" s="72">
        <v>1103835</v>
      </c>
      <c r="S292" s="72" t="e">
        <f t="shared" si="120"/>
        <v>#REF!</v>
      </c>
      <c r="T292" s="62" t="e">
        <f t="shared" si="139"/>
        <v>#REF!</v>
      </c>
    </row>
    <row r="293" spans="1:20" s="73" customFormat="1" hidden="1">
      <c r="A293" s="9"/>
      <c r="B293" s="9"/>
      <c r="C293" s="9"/>
      <c r="D293" s="69"/>
      <c r="E293" s="69">
        <v>111</v>
      </c>
      <c r="F293" s="3" t="s">
        <v>0</v>
      </c>
      <c r="G293" s="26"/>
      <c r="H293" s="26"/>
      <c r="I293" s="26"/>
      <c r="J293" s="105" t="e">
        <f t="shared" ref="J293:J298" si="157">M293</f>
        <v>#REF!</v>
      </c>
      <c r="K293" s="29" t="e">
        <f>'1.02.'!M265</f>
        <v>#REF!</v>
      </c>
      <c r="L293" s="27"/>
      <c r="M293" s="35" t="e">
        <f t="shared" ref="M293:M298" si="158">K293+L293</f>
        <v>#REF!</v>
      </c>
      <c r="N293" s="35" t="e">
        <f t="shared" ref="N293:N298" si="159">I293-M293</f>
        <v>#REF!</v>
      </c>
      <c r="O293" s="70" t="e">
        <f t="shared" si="154"/>
        <v>#REF!</v>
      </c>
      <c r="P293" s="71" t="e">
        <f t="shared" si="118"/>
        <v>#REF!</v>
      </c>
      <c r="Q293" s="35" t="e">
        <f t="shared" si="119"/>
        <v>#REF!</v>
      </c>
      <c r="R293" s="72">
        <v>1103836</v>
      </c>
      <c r="S293" s="72" t="e">
        <f t="shared" si="120"/>
        <v>#REF!</v>
      </c>
      <c r="T293" s="62" t="e">
        <f t="shared" si="139"/>
        <v>#REF!</v>
      </c>
    </row>
    <row r="294" spans="1:20" hidden="1">
      <c r="A294" s="9"/>
      <c r="B294" s="9"/>
      <c r="C294" s="9"/>
      <c r="D294" s="69"/>
      <c r="E294" s="76">
        <v>113</v>
      </c>
      <c r="F294" s="3" t="s">
        <v>1</v>
      </c>
      <c r="G294" s="26"/>
      <c r="H294" s="26"/>
      <c r="I294" s="26"/>
      <c r="J294" s="105" t="e">
        <f t="shared" si="157"/>
        <v>#REF!</v>
      </c>
      <c r="K294" s="29" t="e">
        <f>'1.02.'!M266</f>
        <v>#REF!</v>
      </c>
      <c r="L294" s="27"/>
      <c r="M294" s="35" t="e">
        <f t="shared" si="158"/>
        <v>#REF!</v>
      </c>
      <c r="N294" s="35" t="e">
        <f t="shared" si="159"/>
        <v>#REF!</v>
      </c>
      <c r="O294" s="70" t="e">
        <f t="shared" si="154"/>
        <v>#REF!</v>
      </c>
      <c r="P294" s="71" t="e">
        <f t="shared" ref="P294:P323" si="160">J294-M294</f>
        <v>#REF!</v>
      </c>
      <c r="Q294" s="35" t="e">
        <f t="shared" ref="Q294:Q323" si="161">H294-J294</f>
        <v>#REF!</v>
      </c>
      <c r="R294" s="72">
        <v>1103837</v>
      </c>
      <c r="S294" s="72" t="e">
        <f t="shared" ref="S294:S323" si="162">G294-M294</f>
        <v>#REF!</v>
      </c>
      <c r="T294" s="62" t="e">
        <f t="shared" si="139"/>
        <v>#REF!</v>
      </c>
    </row>
    <row r="295" spans="1:20" hidden="1">
      <c r="A295" s="9"/>
      <c r="B295" s="9"/>
      <c r="C295" s="9"/>
      <c r="D295" s="69"/>
      <c r="E295" s="69">
        <v>116</v>
      </c>
      <c r="F295" s="3" t="s">
        <v>42</v>
      </c>
      <c r="G295" s="26"/>
      <c r="H295" s="26"/>
      <c r="I295" s="26"/>
      <c r="J295" s="105" t="e">
        <f t="shared" si="157"/>
        <v>#REF!</v>
      </c>
      <c r="K295" s="29" t="e">
        <f>'1.02.'!M267</f>
        <v>#REF!</v>
      </c>
      <c r="L295" s="27"/>
      <c r="M295" s="35" t="e">
        <f t="shared" si="158"/>
        <v>#REF!</v>
      </c>
      <c r="N295" s="35" t="e">
        <f t="shared" si="159"/>
        <v>#REF!</v>
      </c>
      <c r="O295" s="70" t="e">
        <f>M295/I295*100</f>
        <v>#REF!</v>
      </c>
      <c r="P295" s="71" t="e">
        <f t="shared" si="160"/>
        <v>#REF!</v>
      </c>
      <c r="Q295" s="35" t="e">
        <f t="shared" si="161"/>
        <v>#REF!</v>
      </c>
      <c r="R295" s="72">
        <v>1103838</v>
      </c>
      <c r="S295" s="72" t="e">
        <f t="shared" si="162"/>
        <v>#REF!</v>
      </c>
    </row>
    <row r="296" spans="1:20" s="73" customFormat="1" hidden="1">
      <c r="A296" s="9"/>
      <c r="B296" s="9"/>
      <c r="C296" s="9"/>
      <c r="D296" s="69"/>
      <c r="E296" s="69">
        <v>121</v>
      </c>
      <c r="F296" s="3" t="s">
        <v>2</v>
      </c>
      <c r="G296" s="26"/>
      <c r="H296" s="26"/>
      <c r="I296" s="26"/>
      <c r="J296" s="105" t="e">
        <f t="shared" si="157"/>
        <v>#REF!</v>
      </c>
      <c r="K296" s="29" t="e">
        <f>'1.02.'!M268</f>
        <v>#REF!</v>
      </c>
      <c r="L296" s="27"/>
      <c r="M296" s="35" t="e">
        <f t="shared" si="158"/>
        <v>#REF!</v>
      </c>
      <c r="N296" s="35" t="e">
        <f t="shared" si="159"/>
        <v>#REF!</v>
      </c>
      <c r="O296" s="70" t="e">
        <f>M296/I296*100</f>
        <v>#REF!</v>
      </c>
      <c r="P296" s="71" t="e">
        <f t="shared" si="160"/>
        <v>#REF!</v>
      </c>
      <c r="Q296" s="35" t="e">
        <f t="shared" si="161"/>
        <v>#REF!</v>
      </c>
      <c r="R296" s="72">
        <v>1103839</v>
      </c>
      <c r="S296" s="72" t="e">
        <f t="shared" si="162"/>
        <v>#REF!</v>
      </c>
      <c r="T296" s="62" t="e">
        <f t="shared" ref="T296:T300" si="163">G296-J296</f>
        <v>#REF!</v>
      </c>
    </row>
    <row r="297" spans="1:20" s="73" customFormat="1" ht="25.5" hidden="1">
      <c r="A297" s="9"/>
      <c r="B297" s="9"/>
      <c r="C297" s="9"/>
      <c r="D297" s="69"/>
      <c r="E297" s="69">
        <v>122</v>
      </c>
      <c r="F297" s="3" t="s">
        <v>3</v>
      </c>
      <c r="G297" s="26"/>
      <c r="H297" s="26"/>
      <c r="I297" s="26"/>
      <c r="J297" s="105" t="e">
        <f t="shared" si="157"/>
        <v>#REF!</v>
      </c>
      <c r="K297" s="29" t="e">
        <f>'1.02.'!M269</f>
        <v>#REF!</v>
      </c>
      <c r="L297" s="27"/>
      <c r="M297" s="35" t="e">
        <f t="shared" si="158"/>
        <v>#REF!</v>
      </c>
      <c r="N297" s="35" t="e">
        <f t="shared" si="159"/>
        <v>#REF!</v>
      </c>
      <c r="O297" s="70" t="e">
        <f t="shared" ref="O297:O302" si="164">M297/I297*100</f>
        <v>#REF!</v>
      </c>
      <c r="P297" s="71" t="e">
        <f t="shared" si="160"/>
        <v>#REF!</v>
      </c>
      <c r="Q297" s="35" t="e">
        <f t="shared" si="161"/>
        <v>#REF!</v>
      </c>
      <c r="R297" s="72">
        <v>1103840</v>
      </c>
      <c r="S297" s="72" t="e">
        <f t="shared" si="162"/>
        <v>#REF!</v>
      </c>
      <c r="T297" s="62" t="e">
        <f t="shared" si="163"/>
        <v>#REF!</v>
      </c>
    </row>
    <row r="298" spans="1:20" s="73" customFormat="1" hidden="1">
      <c r="A298" s="9"/>
      <c r="B298" s="9"/>
      <c r="C298" s="9"/>
      <c r="D298" s="69"/>
      <c r="E298" s="69">
        <v>124</v>
      </c>
      <c r="F298" s="3" t="s">
        <v>19</v>
      </c>
      <c r="G298" s="26"/>
      <c r="H298" s="26"/>
      <c r="I298" s="26"/>
      <c r="J298" s="105" t="e">
        <f t="shared" si="157"/>
        <v>#REF!</v>
      </c>
      <c r="K298" s="29" t="e">
        <f>'1.02.'!M270</f>
        <v>#REF!</v>
      </c>
      <c r="L298" s="27"/>
      <c r="M298" s="35" t="e">
        <f t="shared" si="158"/>
        <v>#REF!</v>
      </c>
      <c r="N298" s="35" t="e">
        <f t="shared" si="159"/>
        <v>#REF!</v>
      </c>
      <c r="O298" s="70" t="e">
        <f t="shared" si="164"/>
        <v>#REF!</v>
      </c>
      <c r="P298" s="71" t="e">
        <f t="shared" si="160"/>
        <v>#REF!</v>
      </c>
      <c r="Q298" s="35" t="e">
        <f t="shared" si="161"/>
        <v>#REF!</v>
      </c>
      <c r="R298" s="72">
        <v>1103841</v>
      </c>
      <c r="S298" s="72" t="e">
        <f t="shared" si="162"/>
        <v>#REF!</v>
      </c>
      <c r="T298" s="62" t="e">
        <f t="shared" si="163"/>
        <v>#REF!</v>
      </c>
    </row>
    <row r="299" spans="1:20">
      <c r="A299" s="8"/>
      <c r="B299" s="8"/>
      <c r="C299" s="17"/>
      <c r="D299" s="17" t="s">
        <v>7</v>
      </c>
      <c r="E299" s="10"/>
      <c r="F299" s="135" t="s">
        <v>85</v>
      </c>
      <c r="G299" s="40">
        <f>SUM(G300:G318)</f>
        <v>605263</v>
      </c>
      <c r="H299" s="40">
        <f>SUM(H300:H318)</f>
        <v>217597.40000000005</v>
      </c>
      <c r="I299" s="40">
        <f>SUM(I300:I318)</f>
        <v>167906.9</v>
      </c>
      <c r="J299" s="24">
        <f t="shared" ref="J299" si="165">SUM(J300:J318)</f>
        <v>216824.46616000001</v>
      </c>
      <c r="K299" s="29">
        <f>'1.02.'!M271</f>
        <v>2434.3649999999998</v>
      </c>
      <c r="L299" s="24">
        <f>SUM(L300:L318)</f>
        <v>65206.164379999995</v>
      </c>
      <c r="M299" s="24">
        <f t="shared" ref="M299" si="166">SUM(M300:M318)</f>
        <v>163130.84730999998</v>
      </c>
      <c r="N299" s="24">
        <f>SUM(N300:N318)</f>
        <v>4776.0526900000004</v>
      </c>
      <c r="O299" s="66">
        <f t="shared" si="164"/>
        <v>97.155535186463453</v>
      </c>
      <c r="P299" s="71">
        <f t="shared" si="160"/>
        <v>53693.618850000028</v>
      </c>
      <c r="Q299" s="35">
        <f t="shared" si="161"/>
        <v>772.93384000004153</v>
      </c>
      <c r="R299" s="72">
        <v>1103842</v>
      </c>
      <c r="S299" s="72">
        <f t="shared" si="162"/>
        <v>442132.15269000002</v>
      </c>
      <c r="T299" s="62">
        <f t="shared" si="163"/>
        <v>388438.53383999999</v>
      </c>
    </row>
    <row r="300" spans="1:20">
      <c r="A300" s="8"/>
      <c r="B300" s="9"/>
      <c r="C300" s="9"/>
      <c r="D300" s="69"/>
      <c r="E300" s="69">
        <v>111</v>
      </c>
      <c r="F300" s="136" t="s">
        <v>86</v>
      </c>
      <c r="G300" s="26">
        <f>395706-34947-1433-3400</f>
        <v>355926</v>
      </c>
      <c r="H300" s="26">
        <v>75627</v>
      </c>
      <c r="I300" s="26">
        <v>75627</v>
      </c>
      <c r="J300" s="105">
        <f>M300</f>
        <v>75627</v>
      </c>
      <c r="K300" s="35">
        <f>'1.07. '!M291</f>
        <v>49627</v>
      </c>
      <c r="L300" s="27">
        <v>26000</v>
      </c>
      <c r="M300" s="93">
        <f t="shared" ref="M300:M302" si="167">K300+L300</f>
        <v>75627</v>
      </c>
      <c r="N300" s="93">
        <f t="shared" ref="N300:N302" si="168">I300-M300</f>
        <v>0</v>
      </c>
      <c r="O300" s="70">
        <f t="shared" si="164"/>
        <v>100</v>
      </c>
      <c r="P300" s="71">
        <f t="shared" si="160"/>
        <v>0</v>
      </c>
      <c r="Q300" s="35">
        <f t="shared" si="161"/>
        <v>0</v>
      </c>
      <c r="R300" s="72">
        <v>1103843</v>
      </c>
      <c r="S300" s="72">
        <f t="shared" si="162"/>
        <v>280299</v>
      </c>
      <c r="T300" s="62">
        <f t="shared" si="163"/>
        <v>280299</v>
      </c>
    </row>
    <row r="301" spans="1:20">
      <c r="A301" s="8"/>
      <c r="B301" s="9"/>
      <c r="C301" s="9"/>
      <c r="D301" s="69"/>
      <c r="E301" s="69">
        <v>112</v>
      </c>
      <c r="F301" s="136" t="s">
        <v>87</v>
      </c>
      <c r="G301" s="26">
        <f>4300+3400</f>
        <v>7700</v>
      </c>
      <c r="H301" s="26">
        <v>7700</v>
      </c>
      <c r="I301" s="26">
        <v>7700</v>
      </c>
      <c r="J301" s="105">
        <f t="shared" ref="J301:J318" si="169">M301</f>
        <v>7700</v>
      </c>
      <c r="K301" s="35">
        <f>'1.07. '!M292</f>
        <v>4300</v>
      </c>
      <c r="L301" s="27">
        <f>3400</f>
        <v>3400</v>
      </c>
      <c r="M301" s="93">
        <f t="shared" si="167"/>
        <v>7700</v>
      </c>
      <c r="N301" s="93">
        <f t="shared" si="168"/>
        <v>0</v>
      </c>
      <c r="O301" s="70">
        <f t="shared" si="164"/>
        <v>100</v>
      </c>
      <c r="P301" s="71">
        <f t="shared" si="160"/>
        <v>0</v>
      </c>
      <c r="Q301" s="35">
        <f t="shared" si="161"/>
        <v>0</v>
      </c>
      <c r="R301" s="72">
        <v>1103844</v>
      </c>
      <c r="S301" s="72">
        <f t="shared" si="162"/>
        <v>0</v>
      </c>
    </row>
    <row r="302" spans="1:20">
      <c r="A302" s="8"/>
      <c r="B302" s="9"/>
      <c r="C302" s="9"/>
      <c r="D302" s="69"/>
      <c r="E302" s="76">
        <v>113</v>
      </c>
      <c r="F302" s="136" t="s">
        <v>88</v>
      </c>
      <c r="G302" s="26">
        <f>19666-5000</f>
        <v>14666</v>
      </c>
      <c r="H302" s="26"/>
      <c r="I302" s="26"/>
      <c r="J302" s="105">
        <f t="shared" si="169"/>
        <v>0</v>
      </c>
      <c r="K302" s="35">
        <f>'1.07. '!M293</f>
        <v>0</v>
      </c>
      <c r="L302" s="27"/>
      <c r="M302" s="93">
        <f t="shared" si="167"/>
        <v>0</v>
      </c>
      <c r="N302" s="93">
        <f t="shared" si="168"/>
        <v>0</v>
      </c>
      <c r="O302" s="70" t="e">
        <f t="shared" si="164"/>
        <v>#DIV/0!</v>
      </c>
      <c r="P302" s="71">
        <f t="shared" si="160"/>
        <v>0</v>
      </c>
      <c r="Q302" s="35">
        <f t="shared" si="161"/>
        <v>0</v>
      </c>
      <c r="R302" s="72">
        <v>1103845</v>
      </c>
      <c r="S302" s="72">
        <f t="shared" si="162"/>
        <v>14666</v>
      </c>
      <c r="T302" s="62">
        <f t="shared" ref="T302" si="170">G302-J302</f>
        <v>14666</v>
      </c>
    </row>
    <row r="303" spans="1:20">
      <c r="A303" s="8"/>
      <c r="B303" s="9"/>
      <c r="C303" s="9"/>
      <c r="D303" s="69"/>
      <c r="E303" s="69">
        <v>116</v>
      </c>
      <c r="F303" s="136" t="s">
        <v>89</v>
      </c>
      <c r="G303" s="26">
        <f>13850-2000-300</f>
        <v>11550</v>
      </c>
      <c r="H303" s="26">
        <v>1604</v>
      </c>
      <c r="I303" s="26">
        <v>1604</v>
      </c>
      <c r="J303" s="105">
        <f t="shared" si="169"/>
        <v>1604</v>
      </c>
      <c r="K303" s="35">
        <f>'1.07. '!M294</f>
        <v>840</v>
      </c>
      <c r="L303" s="27">
        <f>764-0</f>
        <v>764</v>
      </c>
      <c r="M303" s="93">
        <f>K303+L303</f>
        <v>1604</v>
      </c>
      <c r="N303" s="93">
        <f>I303-M303</f>
        <v>0</v>
      </c>
      <c r="O303" s="70">
        <f>M303/I303*100</f>
        <v>100</v>
      </c>
      <c r="P303" s="71">
        <f t="shared" si="160"/>
        <v>0</v>
      </c>
      <c r="Q303" s="35">
        <f t="shared" si="161"/>
        <v>0</v>
      </c>
      <c r="R303" s="72">
        <v>1103846</v>
      </c>
      <c r="S303" s="72">
        <f t="shared" si="162"/>
        <v>9946</v>
      </c>
    </row>
    <row r="304" spans="1:20">
      <c r="A304" s="8"/>
      <c r="B304" s="9"/>
      <c r="C304" s="9"/>
      <c r="D304" s="69"/>
      <c r="E304" s="69">
        <v>121</v>
      </c>
      <c r="F304" s="136" t="s">
        <v>90</v>
      </c>
      <c r="G304" s="26">
        <f>20498-5000-1000</f>
        <v>14498</v>
      </c>
      <c r="H304" s="26">
        <v>4292</v>
      </c>
      <c r="I304" s="26">
        <v>4292</v>
      </c>
      <c r="J304" s="105">
        <f t="shared" si="169"/>
        <v>4292</v>
      </c>
      <c r="K304" s="35">
        <f>'1.07. '!M295</f>
        <v>2692</v>
      </c>
      <c r="L304" s="27">
        <f>1600</f>
        <v>1600</v>
      </c>
      <c r="M304" s="93">
        <f t="shared" ref="M304:M317" si="171">K304+L304</f>
        <v>4292</v>
      </c>
      <c r="N304" s="93">
        <f t="shared" ref="N304:N318" si="172">I304-M304</f>
        <v>0</v>
      </c>
      <c r="O304" s="70">
        <f t="shared" ref="O304:O323" si="173">M304/I304*100</f>
        <v>100</v>
      </c>
      <c r="P304" s="71">
        <f t="shared" si="160"/>
        <v>0</v>
      </c>
      <c r="Q304" s="35">
        <f t="shared" si="161"/>
        <v>0</v>
      </c>
      <c r="R304" s="72">
        <v>1103847</v>
      </c>
      <c r="S304" s="72">
        <f t="shared" si="162"/>
        <v>10206</v>
      </c>
      <c r="T304" s="62">
        <f t="shared" ref="T304:T313" si="174">G304-J304</f>
        <v>10206</v>
      </c>
    </row>
    <row r="305" spans="1:20">
      <c r="A305" s="8"/>
      <c r="B305" s="9"/>
      <c r="C305" s="9"/>
      <c r="D305" s="69"/>
      <c r="E305" s="69">
        <v>122</v>
      </c>
      <c r="F305" s="136" t="s">
        <v>91</v>
      </c>
      <c r="G305" s="26">
        <f>17807-5000-711</f>
        <v>12096</v>
      </c>
      <c r="H305" s="26">
        <v>3457</v>
      </c>
      <c r="I305" s="26">
        <v>3457</v>
      </c>
      <c r="J305" s="105">
        <f t="shared" si="169"/>
        <v>3457</v>
      </c>
      <c r="K305" s="35">
        <f>'1.07. '!M296</f>
        <v>1812</v>
      </c>
      <c r="L305" s="27">
        <f>1645</f>
        <v>1645</v>
      </c>
      <c r="M305" s="93">
        <f t="shared" si="171"/>
        <v>3457</v>
      </c>
      <c r="N305" s="93">
        <f t="shared" si="172"/>
        <v>0</v>
      </c>
      <c r="O305" s="70">
        <f t="shared" si="173"/>
        <v>100</v>
      </c>
      <c r="P305" s="71">
        <f t="shared" si="160"/>
        <v>0</v>
      </c>
      <c r="Q305" s="35">
        <f t="shared" si="161"/>
        <v>0</v>
      </c>
      <c r="R305" s="72">
        <v>1103848</v>
      </c>
      <c r="S305" s="72">
        <f t="shared" si="162"/>
        <v>8639</v>
      </c>
      <c r="T305" s="62">
        <f t="shared" si="174"/>
        <v>8639</v>
      </c>
    </row>
    <row r="306" spans="1:20">
      <c r="A306" s="8"/>
      <c r="B306" s="9"/>
      <c r="C306" s="9"/>
      <c r="D306" s="69"/>
      <c r="E306" s="69">
        <v>123</v>
      </c>
      <c r="F306" s="136" t="s">
        <v>92</v>
      </c>
      <c r="G306" s="26"/>
      <c r="H306" s="26"/>
      <c r="I306" s="26"/>
      <c r="J306" s="105">
        <f t="shared" si="169"/>
        <v>0</v>
      </c>
      <c r="K306" s="35">
        <f>'1.07. '!M297</f>
        <v>0</v>
      </c>
      <c r="L306" s="27"/>
      <c r="M306" s="93">
        <f t="shared" si="171"/>
        <v>0</v>
      </c>
      <c r="N306" s="93">
        <f t="shared" si="172"/>
        <v>0</v>
      </c>
      <c r="O306" s="70" t="e">
        <f t="shared" si="173"/>
        <v>#DIV/0!</v>
      </c>
      <c r="P306" s="71">
        <f t="shared" si="160"/>
        <v>0</v>
      </c>
      <c r="Q306" s="35">
        <f t="shared" si="161"/>
        <v>0</v>
      </c>
      <c r="R306" s="72">
        <v>1103849</v>
      </c>
      <c r="S306" s="72">
        <f t="shared" si="162"/>
        <v>0</v>
      </c>
      <c r="T306" s="62">
        <f t="shared" si="174"/>
        <v>0</v>
      </c>
    </row>
    <row r="307" spans="1:20">
      <c r="A307" s="9"/>
      <c r="B307" s="9"/>
      <c r="C307" s="9"/>
      <c r="D307" s="69"/>
      <c r="E307" s="69">
        <v>124</v>
      </c>
      <c r="F307" s="136" t="s">
        <v>93</v>
      </c>
      <c r="G307" s="26">
        <f>11872-5000-856</f>
        <v>6016</v>
      </c>
      <c r="H307" s="26">
        <v>2915</v>
      </c>
      <c r="I307" s="26">
        <v>2915</v>
      </c>
      <c r="J307" s="105">
        <f t="shared" si="169"/>
        <v>2915</v>
      </c>
      <c r="K307" s="35">
        <f>'1.07. '!M298</f>
        <v>1333</v>
      </c>
      <c r="L307" s="27">
        <v>1582</v>
      </c>
      <c r="M307" s="93">
        <f t="shared" si="171"/>
        <v>2915</v>
      </c>
      <c r="N307" s="93">
        <f t="shared" si="172"/>
        <v>0</v>
      </c>
      <c r="O307" s="70">
        <f t="shared" si="173"/>
        <v>100</v>
      </c>
      <c r="P307" s="71">
        <f t="shared" si="160"/>
        <v>0</v>
      </c>
      <c r="Q307" s="35">
        <f t="shared" si="161"/>
        <v>0</v>
      </c>
      <c r="R307" s="72">
        <v>1103850</v>
      </c>
      <c r="S307" s="72">
        <f t="shared" si="162"/>
        <v>3101</v>
      </c>
      <c r="T307" s="62">
        <f t="shared" si="174"/>
        <v>3101</v>
      </c>
    </row>
    <row r="308" spans="1:20" s="73" customFormat="1">
      <c r="A308" s="9"/>
      <c r="B308" s="9"/>
      <c r="C308" s="9"/>
      <c r="D308" s="69"/>
      <c r="E308" s="69">
        <v>141</v>
      </c>
      <c r="F308" s="136" t="s">
        <v>116</v>
      </c>
      <c r="G308" s="26">
        <f>42256-747-5493.7</f>
        <v>36015.300000000003</v>
      </c>
      <c r="H308" s="26">
        <v>34164</v>
      </c>
      <c r="I308" s="26">
        <v>5133</v>
      </c>
      <c r="J308" s="105">
        <v>33663.5965</v>
      </c>
      <c r="K308" s="35">
        <f>'1.07. '!M299</f>
        <v>2633</v>
      </c>
      <c r="L308" s="27">
        <f>2500</f>
        <v>2500</v>
      </c>
      <c r="M308" s="93">
        <f t="shared" si="171"/>
        <v>5133</v>
      </c>
      <c r="N308" s="93">
        <f t="shared" si="172"/>
        <v>0</v>
      </c>
      <c r="O308" s="70">
        <f t="shared" si="173"/>
        <v>100</v>
      </c>
      <c r="P308" s="71">
        <f t="shared" si="160"/>
        <v>28530.5965</v>
      </c>
      <c r="Q308" s="35">
        <f t="shared" si="161"/>
        <v>500.40350000000035</v>
      </c>
      <c r="R308" s="72">
        <v>1103851</v>
      </c>
      <c r="S308" s="72">
        <f t="shared" si="162"/>
        <v>30882.300000000003</v>
      </c>
      <c r="T308" s="62">
        <f t="shared" si="174"/>
        <v>2351.7035000000033</v>
      </c>
    </row>
    <row r="309" spans="1:20" ht="25.5">
      <c r="A309" s="9"/>
      <c r="B309" s="9"/>
      <c r="C309" s="9"/>
      <c r="D309" s="69"/>
      <c r="E309" s="69">
        <v>142</v>
      </c>
      <c r="F309" s="136" t="s">
        <v>122</v>
      </c>
      <c r="G309" s="26">
        <f>3014+356.2</f>
        <v>3370.2</v>
      </c>
      <c r="H309" s="26">
        <v>3370.2</v>
      </c>
      <c r="I309" s="26">
        <v>3370.2</v>
      </c>
      <c r="J309" s="105">
        <v>3370.16</v>
      </c>
      <c r="K309" s="35">
        <f>'1.07. '!M300</f>
        <v>3370.16</v>
      </c>
      <c r="L309" s="27"/>
      <c r="M309" s="93">
        <f t="shared" si="171"/>
        <v>3370.16</v>
      </c>
      <c r="N309" s="93">
        <f t="shared" si="172"/>
        <v>3.999999999996362E-2</v>
      </c>
      <c r="O309" s="70">
        <f t="shared" si="173"/>
        <v>99.998813126817396</v>
      </c>
      <c r="P309" s="71">
        <f t="shared" si="160"/>
        <v>0</v>
      </c>
      <c r="Q309" s="35">
        <f t="shared" si="161"/>
        <v>3.999999999996362E-2</v>
      </c>
      <c r="R309" s="72">
        <v>1103852</v>
      </c>
      <c r="S309" s="72">
        <f t="shared" si="162"/>
        <v>3.999999999996362E-2</v>
      </c>
      <c r="T309" s="62">
        <f t="shared" si="174"/>
        <v>3.999999999996362E-2</v>
      </c>
    </row>
    <row r="310" spans="1:20">
      <c r="A310" s="9"/>
      <c r="B310" s="9"/>
      <c r="C310" s="9"/>
      <c r="D310" s="69"/>
      <c r="E310" s="69">
        <v>144</v>
      </c>
      <c r="F310" s="136" t="s">
        <v>97</v>
      </c>
      <c r="G310" s="26">
        <f>400+87.5</f>
        <v>487.5</v>
      </c>
      <c r="H310" s="26">
        <v>487.5</v>
      </c>
      <c r="I310" s="26">
        <v>400</v>
      </c>
      <c r="J310" s="105">
        <v>399.99793</v>
      </c>
      <c r="K310" s="35">
        <f>'1.07. '!M301</f>
        <v>399.99793</v>
      </c>
      <c r="L310" s="27"/>
      <c r="M310" s="93">
        <f t="shared" si="171"/>
        <v>399.99793</v>
      </c>
      <c r="N310" s="93">
        <f t="shared" si="172"/>
        <v>2.0700000000033469E-3</v>
      </c>
      <c r="O310" s="70">
        <f t="shared" si="173"/>
        <v>99.999482499999999</v>
      </c>
      <c r="P310" s="71">
        <f t="shared" si="160"/>
        <v>0</v>
      </c>
      <c r="Q310" s="35">
        <f t="shared" si="161"/>
        <v>87.502070000000003</v>
      </c>
      <c r="R310" s="72">
        <v>1103853</v>
      </c>
      <c r="S310" s="72">
        <f t="shared" si="162"/>
        <v>87.502070000000003</v>
      </c>
      <c r="T310" s="62">
        <f t="shared" si="174"/>
        <v>87.502070000000003</v>
      </c>
    </row>
    <row r="311" spans="1:20">
      <c r="A311" s="9"/>
      <c r="B311" s="9"/>
      <c r="C311" s="9"/>
      <c r="D311" s="69"/>
      <c r="E311" s="69">
        <v>149</v>
      </c>
      <c r="F311" s="136" t="s">
        <v>98</v>
      </c>
      <c r="G311" s="26">
        <f>7350+30000</f>
        <v>37350</v>
      </c>
      <c r="H311" s="26">
        <v>26231.7</v>
      </c>
      <c r="I311" s="26">
        <v>26231.7</v>
      </c>
      <c r="J311" s="105">
        <v>26173.406660000001</v>
      </c>
      <c r="K311" s="35">
        <f>'1.07. '!M302</f>
        <v>6774.8250000000007</v>
      </c>
      <c r="L311" s="27">
        <f>19398.58166</f>
        <v>19398.58166</v>
      </c>
      <c r="M311" s="93">
        <f t="shared" si="171"/>
        <v>26173.406660000001</v>
      </c>
      <c r="N311" s="93">
        <f>I311-M311</f>
        <v>58.293340000000171</v>
      </c>
      <c r="O311" s="70">
        <f t="shared" si="173"/>
        <v>99.777775210908942</v>
      </c>
      <c r="P311" s="71">
        <f t="shared" si="160"/>
        <v>0</v>
      </c>
      <c r="Q311" s="35">
        <f t="shared" si="161"/>
        <v>58.293340000000171</v>
      </c>
      <c r="R311" s="72">
        <v>1103854</v>
      </c>
      <c r="S311" s="72">
        <f t="shared" si="162"/>
        <v>11176.593339999999</v>
      </c>
      <c r="T311" s="62">
        <f t="shared" si="174"/>
        <v>11176.593339999999</v>
      </c>
    </row>
    <row r="312" spans="1:20">
      <c r="A312" s="9"/>
      <c r="B312" s="9"/>
      <c r="C312" s="9"/>
      <c r="D312" s="69"/>
      <c r="E312" s="69">
        <v>151</v>
      </c>
      <c r="F312" s="136" t="s">
        <v>99</v>
      </c>
      <c r="G312" s="26">
        <v>46563</v>
      </c>
      <c r="H312" s="26">
        <v>23502.7</v>
      </c>
      <c r="I312" s="26">
        <v>23502.7</v>
      </c>
      <c r="J312" s="105">
        <f t="shared" si="169"/>
        <v>23502.61044</v>
      </c>
      <c r="K312" s="35">
        <f>'1.07. '!M303</f>
        <v>17409.7</v>
      </c>
      <c r="L312" s="27">
        <v>6092.9104399999997</v>
      </c>
      <c r="M312" s="93">
        <f t="shared" si="171"/>
        <v>23502.61044</v>
      </c>
      <c r="N312" s="93">
        <f t="shared" si="172"/>
        <v>8.9560000000346918E-2</v>
      </c>
      <c r="O312" s="70">
        <f t="shared" si="173"/>
        <v>99.999618937398679</v>
      </c>
      <c r="P312" s="71">
        <f t="shared" si="160"/>
        <v>0</v>
      </c>
      <c r="Q312" s="35">
        <f t="shared" si="161"/>
        <v>8.9560000000346918E-2</v>
      </c>
      <c r="R312" s="72">
        <v>1103855</v>
      </c>
      <c r="S312" s="72">
        <f t="shared" si="162"/>
        <v>23060.38956</v>
      </c>
      <c r="T312" s="62">
        <f t="shared" si="174"/>
        <v>23060.38956</v>
      </c>
    </row>
    <row r="313" spans="1:20" hidden="1">
      <c r="A313" s="9"/>
      <c r="B313" s="9"/>
      <c r="C313" s="9"/>
      <c r="D313" s="69"/>
      <c r="E313" s="69">
        <v>152</v>
      </c>
      <c r="F313" s="3" t="s">
        <v>4</v>
      </c>
      <c r="G313" s="26"/>
      <c r="H313" s="26"/>
      <c r="I313" s="26"/>
      <c r="J313" s="105">
        <f t="shared" si="169"/>
        <v>0</v>
      </c>
      <c r="K313" s="35">
        <f>'1.07. '!M304</f>
        <v>0</v>
      </c>
      <c r="L313" s="27"/>
      <c r="M313" s="93">
        <f t="shared" si="171"/>
        <v>0</v>
      </c>
      <c r="N313" s="93">
        <f t="shared" si="172"/>
        <v>0</v>
      </c>
      <c r="O313" s="70" t="e">
        <f t="shared" si="173"/>
        <v>#DIV/0!</v>
      </c>
      <c r="P313" s="71">
        <f t="shared" si="160"/>
        <v>0</v>
      </c>
      <c r="Q313" s="35">
        <f t="shared" si="161"/>
        <v>0</v>
      </c>
      <c r="R313" s="72">
        <v>1103856</v>
      </c>
      <c r="S313" s="72">
        <f t="shared" si="162"/>
        <v>0</v>
      </c>
      <c r="T313" s="62">
        <f t="shared" si="174"/>
        <v>0</v>
      </c>
    </row>
    <row r="314" spans="1:20">
      <c r="A314" s="9"/>
      <c r="B314" s="9"/>
      <c r="C314" s="9"/>
      <c r="D314" s="69"/>
      <c r="E314" s="69">
        <v>152</v>
      </c>
      <c r="F314" s="3" t="s">
        <v>100</v>
      </c>
      <c r="G314" s="26">
        <f>5050+7109</f>
        <v>12159</v>
      </c>
      <c r="H314" s="26">
        <v>5050.1000000000004</v>
      </c>
      <c r="I314" s="26"/>
      <c r="J314" s="105">
        <v>5049.9999900000003</v>
      </c>
      <c r="K314" s="35">
        <f>'1.07. '!M305</f>
        <v>0</v>
      </c>
      <c r="L314" s="27"/>
      <c r="M314" s="93">
        <f t="shared" si="171"/>
        <v>0</v>
      </c>
      <c r="N314" s="93">
        <f t="shared" si="172"/>
        <v>0</v>
      </c>
      <c r="O314" s="70" t="e">
        <f t="shared" si="173"/>
        <v>#DIV/0!</v>
      </c>
      <c r="P314" s="71">
        <f t="shared" si="160"/>
        <v>5049.9999900000003</v>
      </c>
      <c r="Q314" s="35">
        <f t="shared" si="161"/>
        <v>0.10001000000011118</v>
      </c>
      <c r="R314" s="72">
        <v>1103857</v>
      </c>
      <c r="S314" s="72">
        <f t="shared" si="162"/>
        <v>12159</v>
      </c>
    </row>
    <row r="315" spans="1:20">
      <c r="A315" s="9"/>
      <c r="B315" s="9"/>
      <c r="C315" s="9"/>
      <c r="D315" s="69"/>
      <c r="E315" s="69">
        <v>158</v>
      </c>
      <c r="F315" s="136" t="s">
        <v>101</v>
      </c>
      <c r="G315" s="26">
        <v>730</v>
      </c>
      <c r="H315" s="26">
        <v>730</v>
      </c>
      <c r="I315" s="26">
        <v>366</v>
      </c>
      <c r="J315" s="105">
        <v>730</v>
      </c>
      <c r="K315" s="35">
        <f>'1.07. '!M306</f>
        <v>305</v>
      </c>
      <c r="L315" s="27">
        <v>61</v>
      </c>
      <c r="M315" s="93">
        <f t="shared" si="171"/>
        <v>366</v>
      </c>
      <c r="N315" s="93">
        <f t="shared" si="172"/>
        <v>0</v>
      </c>
      <c r="O315" s="70">
        <f t="shared" si="173"/>
        <v>100</v>
      </c>
      <c r="P315" s="71">
        <f t="shared" si="160"/>
        <v>364</v>
      </c>
      <c r="Q315" s="35">
        <f t="shared" si="161"/>
        <v>0</v>
      </c>
      <c r="R315" s="72">
        <v>1103857</v>
      </c>
      <c r="S315" s="72">
        <f t="shared" si="162"/>
        <v>364</v>
      </c>
    </row>
    <row r="316" spans="1:20">
      <c r="A316" s="9"/>
      <c r="B316" s="9"/>
      <c r="C316" s="9"/>
      <c r="D316" s="69"/>
      <c r="E316" s="69">
        <v>159</v>
      </c>
      <c r="F316" s="136" t="s">
        <v>84</v>
      </c>
      <c r="G316" s="26">
        <f>24280+21109</f>
        <v>45389</v>
      </c>
      <c r="H316" s="26">
        <v>27719.200000000001</v>
      </c>
      <c r="I316" s="26">
        <v>12561.3</v>
      </c>
      <c r="J316" s="105">
        <v>27592.694640000002</v>
      </c>
      <c r="K316" s="35">
        <f>'1.07. '!M307</f>
        <v>5681</v>
      </c>
      <c r="L316" s="27">
        <v>2162.6722799999998</v>
      </c>
      <c r="M316" s="93">
        <f t="shared" si="171"/>
        <v>7843.6722799999998</v>
      </c>
      <c r="N316" s="93">
        <f t="shared" si="172"/>
        <v>4717.6277199999995</v>
      </c>
      <c r="O316" s="70">
        <f t="shared" si="173"/>
        <v>62.443156998081406</v>
      </c>
      <c r="P316" s="71">
        <f t="shared" si="160"/>
        <v>19749.022360000003</v>
      </c>
      <c r="Q316" s="35">
        <f t="shared" si="161"/>
        <v>126.5053599999992</v>
      </c>
      <c r="R316" s="72">
        <v>1103858</v>
      </c>
      <c r="S316" s="72">
        <f t="shared" si="162"/>
        <v>37545.327720000001</v>
      </c>
      <c r="T316" s="62">
        <f t="shared" ref="T316:T318" si="175">G316-J316</f>
        <v>17796.305359999998</v>
      </c>
    </row>
    <row r="317" spans="1:20">
      <c r="A317" s="9"/>
      <c r="B317" s="9"/>
      <c r="C317" s="9"/>
      <c r="D317" s="69"/>
      <c r="E317" s="69">
        <v>161</v>
      </c>
      <c r="F317" s="136" t="s">
        <v>102</v>
      </c>
      <c r="G317" s="26">
        <v>747</v>
      </c>
      <c r="H317" s="26">
        <v>747</v>
      </c>
      <c r="I317" s="26">
        <v>747</v>
      </c>
      <c r="J317" s="105">
        <f t="shared" si="169"/>
        <v>747</v>
      </c>
      <c r="K317" s="35">
        <f>'1.07. '!M308</f>
        <v>747</v>
      </c>
      <c r="L317" s="27"/>
      <c r="M317" s="93">
        <f t="shared" si="171"/>
        <v>747</v>
      </c>
      <c r="N317" s="93">
        <f t="shared" si="172"/>
        <v>0</v>
      </c>
      <c r="O317" s="70">
        <f t="shared" si="173"/>
        <v>100</v>
      </c>
      <c r="P317" s="71">
        <f t="shared" si="160"/>
        <v>0</v>
      </c>
      <c r="Q317" s="35">
        <f t="shared" si="161"/>
        <v>0</v>
      </c>
      <c r="R317" s="72">
        <v>1103859</v>
      </c>
      <c r="S317" s="72">
        <f t="shared" si="162"/>
        <v>0</v>
      </c>
      <c r="T317" s="62">
        <f t="shared" si="175"/>
        <v>0</v>
      </c>
    </row>
    <row r="318" spans="1:20">
      <c r="A318" s="9"/>
      <c r="B318" s="9"/>
      <c r="C318" s="9"/>
      <c r="D318" s="69"/>
      <c r="E318" s="69">
        <v>169</v>
      </c>
      <c r="F318" s="136" t="s">
        <v>103</v>
      </c>
      <c r="G318" s="26"/>
      <c r="H318" s="26"/>
      <c r="I318" s="26"/>
      <c r="J318" s="105">
        <f t="shared" si="169"/>
        <v>0</v>
      </c>
      <c r="K318" s="35">
        <f>'1.07. '!M309</f>
        <v>0</v>
      </c>
      <c r="L318" s="27"/>
      <c r="M318" s="93">
        <f>K318+L318</f>
        <v>0</v>
      </c>
      <c r="N318" s="93">
        <f t="shared" si="172"/>
        <v>0</v>
      </c>
      <c r="O318" s="70" t="e">
        <f t="shared" si="173"/>
        <v>#DIV/0!</v>
      </c>
      <c r="P318" s="71">
        <f t="shared" si="160"/>
        <v>0</v>
      </c>
      <c r="Q318" s="35">
        <f t="shared" si="161"/>
        <v>0</v>
      </c>
      <c r="R318" s="72">
        <v>1103860</v>
      </c>
      <c r="S318" s="72">
        <f t="shared" si="162"/>
        <v>0</v>
      </c>
      <c r="T318" s="62">
        <f t="shared" si="175"/>
        <v>0</v>
      </c>
    </row>
    <row r="319" spans="1:20" ht="25.5">
      <c r="A319" s="100"/>
      <c r="B319" s="15"/>
      <c r="C319" s="57" t="s">
        <v>43</v>
      </c>
      <c r="D319" s="16"/>
      <c r="E319" s="20"/>
      <c r="F319" s="139" t="s">
        <v>119</v>
      </c>
      <c r="G319" s="59">
        <f t="shared" ref="G319:N319" si="176">G320</f>
        <v>56947</v>
      </c>
      <c r="H319" s="59">
        <f t="shared" si="176"/>
        <v>31072.1</v>
      </c>
      <c r="I319" s="59">
        <f t="shared" si="176"/>
        <v>30947.1</v>
      </c>
      <c r="J319" s="29">
        <f t="shared" si="176"/>
        <v>30892.611420000001</v>
      </c>
      <c r="K319" s="29">
        <f t="shared" si="176"/>
        <v>20045.207109999999</v>
      </c>
      <c r="L319" s="29">
        <f t="shared" si="176"/>
        <v>7308.0501000000004</v>
      </c>
      <c r="M319" s="29">
        <f t="shared" si="176"/>
        <v>27353.25721</v>
      </c>
      <c r="N319" s="29">
        <f t="shared" si="176"/>
        <v>3593.8427899999997</v>
      </c>
      <c r="O319" s="70">
        <f t="shared" si="173"/>
        <v>88.387141961605451</v>
      </c>
      <c r="P319" s="71">
        <f t="shared" si="160"/>
        <v>3539.3542100000013</v>
      </c>
      <c r="Q319" s="35">
        <f t="shared" si="161"/>
        <v>179.48857999999746</v>
      </c>
      <c r="R319" s="72">
        <v>1103861</v>
      </c>
      <c r="S319" s="72">
        <f t="shared" si="162"/>
        <v>29593.74279</v>
      </c>
    </row>
    <row r="320" spans="1:20">
      <c r="A320" s="9"/>
      <c r="B320" s="12"/>
      <c r="C320" s="12"/>
      <c r="D320" s="11" t="s">
        <v>7</v>
      </c>
      <c r="E320" s="97"/>
      <c r="F320" s="122" t="s">
        <v>85</v>
      </c>
      <c r="G320" s="30">
        <f>G321+G322+G323</f>
        <v>56947</v>
      </c>
      <c r="H320" s="30">
        <f t="shared" ref="H320:N320" si="177">H321+H322+H323</f>
        <v>31072.1</v>
      </c>
      <c r="I320" s="30">
        <f t="shared" si="177"/>
        <v>30947.1</v>
      </c>
      <c r="J320" s="32">
        <f t="shared" si="177"/>
        <v>30892.611420000001</v>
      </c>
      <c r="K320" s="32">
        <f t="shared" si="177"/>
        <v>20045.207109999999</v>
      </c>
      <c r="L320" s="32">
        <f t="shared" si="177"/>
        <v>7308.0501000000004</v>
      </c>
      <c r="M320" s="32">
        <f t="shared" si="177"/>
        <v>27353.25721</v>
      </c>
      <c r="N320" s="32">
        <f t="shared" si="177"/>
        <v>3593.8427899999997</v>
      </c>
      <c r="O320" s="70">
        <f>M320/I320*100</f>
        <v>88.387141961605451</v>
      </c>
      <c r="P320" s="71">
        <f t="shared" si="160"/>
        <v>3539.3542100000013</v>
      </c>
      <c r="Q320" s="35">
        <f t="shared" si="161"/>
        <v>179.48857999999746</v>
      </c>
      <c r="R320" s="72">
        <v>1103862</v>
      </c>
      <c r="S320" s="72">
        <f t="shared" si="162"/>
        <v>29593.74279</v>
      </c>
      <c r="T320" s="62">
        <f>G320-J320</f>
        <v>26054.388579999999</v>
      </c>
    </row>
    <row r="321" spans="1:19" ht="25.5">
      <c r="A321" s="9"/>
      <c r="B321" s="13"/>
      <c r="C321" s="13"/>
      <c r="D321" s="14"/>
      <c r="E321" s="20">
        <v>414</v>
      </c>
      <c r="F321" s="50" t="s">
        <v>105</v>
      </c>
      <c r="G321" s="37">
        <f>56947-849</f>
        <v>56098</v>
      </c>
      <c r="H321" s="37">
        <v>30223.1</v>
      </c>
      <c r="I321" s="37">
        <v>30098.1</v>
      </c>
      <c r="J321" s="75">
        <v>30043.64142</v>
      </c>
      <c r="K321" s="35">
        <f>'1.07. '!M312</f>
        <v>20045.207109999999</v>
      </c>
      <c r="L321" s="35">
        <v>6459.0801000000001</v>
      </c>
      <c r="M321" s="93">
        <f>K321+L321</f>
        <v>26504.287209999999</v>
      </c>
      <c r="N321" s="93">
        <f t="shared" ref="N321:N323" si="178">I321-M321</f>
        <v>3593.8127899999999</v>
      </c>
      <c r="O321" s="70">
        <f t="shared" si="173"/>
        <v>88.059668915978079</v>
      </c>
      <c r="P321" s="71">
        <f t="shared" si="160"/>
        <v>3539.3542100000013</v>
      </c>
      <c r="Q321" s="35">
        <f t="shared" si="161"/>
        <v>179.45857999999862</v>
      </c>
      <c r="R321" s="72">
        <v>1103864</v>
      </c>
      <c r="S321" s="72">
        <f t="shared" si="162"/>
        <v>29593.712790000001</v>
      </c>
    </row>
    <row r="322" spans="1:19">
      <c r="A322" s="9"/>
      <c r="B322" s="13"/>
      <c r="C322" s="13"/>
      <c r="D322" s="14"/>
      <c r="E322" s="20">
        <v>419</v>
      </c>
      <c r="F322" s="86" t="s">
        <v>153</v>
      </c>
      <c r="G322" s="37">
        <v>849</v>
      </c>
      <c r="H322" s="37">
        <v>849</v>
      </c>
      <c r="I322" s="37">
        <v>849</v>
      </c>
      <c r="J322" s="75">
        <v>848.97</v>
      </c>
      <c r="K322" s="35">
        <f>'1.07. '!M313</f>
        <v>0</v>
      </c>
      <c r="L322" s="75">
        <v>848.97</v>
      </c>
      <c r="M322" s="93">
        <f>K322+L322</f>
        <v>848.97</v>
      </c>
      <c r="N322" s="93">
        <f t="shared" si="178"/>
        <v>2.9999999999972715E-2</v>
      </c>
      <c r="O322" s="70">
        <f t="shared" si="173"/>
        <v>99.996466431095413</v>
      </c>
      <c r="P322" s="71">
        <f t="shared" si="160"/>
        <v>0</v>
      </c>
      <c r="Q322" s="35">
        <f t="shared" si="161"/>
        <v>2.9999999999972715E-2</v>
      </c>
      <c r="R322" s="72">
        <v>1103864</v>
      </c>
      <c r="S322" s="72">
        <f t="shared" si="162"/>
        <v>2.9999999999972715E-2</v>
      </c>
    </row>
    <row r="323" spans="1:19" ht="25.5" hidden="1">
      <c r="A323" s="100"/>
      <c r="B323" s="15"/>
      <c r="C323" s="15"/>
      <c r="D323" s="16"/>
      <c r="E323" s="20">
        <v>421</v>
      </c>
      <c r="F323" s="3" t="s">
        <v>60</v>
      </c>
      <c r="G323" s="37"/>
      <c r="H323" s="37"/>
      <c r="I323" s="37"/>
      <c r="J323" s="75"/>
      <c r="K323" s="35">
        <f>'1.07. '!M314</f>
        <v>0</v>
      </c>
      <c r="L323" s="35"/>
      <c r="M323" s="92">
        <f t="shared" ref="M323" si="179">K323+L323</f>
        <v>0</v>
      </c>
      <c r="N323" s="93">
        <f t="shared" si="178"/>
        <v>0</v>
      </c>
      <c r="O323" s="70" t="e">
        <f t="shared" si="173"/>
        <v>#DIV/0!</v>
      </c>
      <c r="P323" s="71">
        <f t="shared" si="160"/>
        <v>0</v>
      </c>
      <c r="Q323" s="35">
        <f t="shared" si="161"/>
        <v>0</v>
      </c>
      <c r="R323" s="72">
        <v>1103865</v>
      </c>
      <c r="S323" s="72">
        <f t="shared" si="162"/>
        <v>0</v>
      </c>
    </row>
    <row r="362" spans="6:6">
      <c r="F362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332"/>
  <sheetViews>
    <sheetView view="pageBreakPreview" zoomScaleSheetLayoutView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323" sqref="F323:F326"/>
    </sheetView>
  </sheetViews>
  <sheetFormatPr defaultRowHeight="12.75"/>
  <cols>
    <col min="1" max="1" width="4.7109375" style="6" customWidth="1"/>
    <col min="2" max="2" width="4.42578125" style="6" customWidth="1"/>
    <col min="3" max="3" width="4.140625" style="6" customWidth="1"/>
    <col min="4" max="4" width="4.5703125" style="6" customWidth="1"/>
    <col min="5" max="5" width="4.85546875" style="6" customWidth="1"/>
    <col min="6" max="6" width="64.2851562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5.42578125" style="62" customWidth="1"/>
    <col min="11" max="11" width="15.42578125" style="62" bestFit="1" customWidth="1"/>
    <col min="12" max="12" width="15.28515625" style="62" bestFit="1" customWidth="1"/>
    <col min="13" max="13" width="15.85546875" style="63" customWidth="1"/>
    <col min="14" max="14" width="13.140625" style="62" customWidth="1"/>
    <col min="15" max="15" width="7.1406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163</v>
      </c>
      <c r="G1" s="1"/>
      <c r="H1" s="2"/>
    </row>
    <row r="2" spans="1:20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25.5">
      <c r="A4" s="151"/>
      <c r="B4" s="152"/>
      <c r="C4" s="154"/>
      <c r="D4" s="154"/>
      <c r="E4" s="154"/>
      <c r="F4" s="149"/>
      <c r="G4" s="144"/>
      <c r="H4" s="127" t="s">
        <v>139</v>
      </c>
      <c r="I4" s="127" t="s">
        <v>140</v>
      </c>
      <c r="J4" s="144"/>
      <c r="K4" s="127" t="s">
        <v>143</v>
      </c>
      <c r="L4" s="127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>G6+G118+G139+G162+G189+G215+G239+G293</f>
        <v>17032806</v>
      </c>
      <c r="H5" s="40">
        <f t="shared" ref="H5:N5" si="0">H6+H118+H139+H162+H189+H215+H239+H293</f>
        <v>8975643.4000000004</v>
      </c>
      <c r="I5" s="40">
        <f t="shared" si="0"/>
        <v>8530873.3000000007</v>
      </c>
      <c r="J5" s="24">
        <f t="shared" si="0"/>
        <v>8862621.3237199988</v>
      </c>
      <c r="K5" s="24">
        <f t="shared" si="0"/>
        <v>1096163.3147799999</v>
      </c>
      <c r="L5" s="24">
        <f t="shared" si="0"/>
        <v>1379651.1785899999</v>
      </c>
      <c r="M5" s="24">
        <f t="shared" si="0"/>
        <v>8496128.0304899998</v>
      </c>
      <c r="N5" s="24">
        <f t="shared" si="0"/>
        <v>34745.269509999998</v>
      </c>
      <c r="O5" s="66">
        <f>M5/I5*100</f>
        <v>99.592711457688623</v>
      </c>
      <c r="P5" s="60">
        <f t="shared" ref="P5:P8" si="1">J5-M5</f>
        <v>366493.29322999902</v>
      </c>
      <c r="Q5" s="29">
        <f t="shared" ref="Q5:Q8" si="2">H5-J5</f>
        <v>113022.07628000155</v>
      </c>
      <c r="R5" s="74">
        <v>1103576</v>
      </c>
      <c r="S5" s="74">
        <f t="shared" ref="S5:S8" si="3">G5-M5</f>
        <v>8536677.9695100002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G7+G13+G35+G39+G42+G45+G111+G115</f>
        <v>5103866</v>
      </c>
      <c r="H6" s="42">
        <f>H7+H13+H35+H39+H42+H45+H111+H115</f>
        <v>2897953.4</v>
      </c>
      <c r="I6" s="42">
        <f>I7+I13+I35+I39+I42+I45+I111+I115</f>
        <v>2858330</v>
      </c>
      <c r="J6" s="29">
        <f>J7+J13+J35+J39+J42+J45+J111+J115</f>
        <v>2867919.72224</v>
      </c>
      <c r="K6" s="29">
        <f>'1.02.'!M6</f>
        <v>305263.96490999998</v>
      </c>
      <c r="L6" s="42">
        <f>L7+L13+L35+L39+L42+L45+L111+L115</f>
        <v>565342.72751</v>
      </c>
      <c r="M6" s="29">
        <f>M7+M13+M35+M39+M42+M45+M111+M115</f>
        <v>2858249.4050599998</v>
      </c>
      <c r="N6" s="29">
        <f>N7+N13+N35+N39+N42+N45+N111+N115</f>
        <v>80.594939999996683</v>
      </c>
      <c r="O6" s="66">
        <f t="shared" ref="O6:O70" si="4">M6/I6*100</f>
        <v>99.997180348665125</v>
      </c>
      <c r="P6" s="29">
        <f t="shared" si="1"/>
        <v>9670.3171800002456</v>
      </c>
      <c r="Q6" s="29">
        <f t="shared" si="2"/>
        <v>30033.677759999875</v>
      </c>
      <c r="R6" s="74">
        <v>1103577</v>
      </c>
      <c r="S6" s="74">
        <f>G6-M6</f>
        <v>2245616.5949400002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N7" si="5">H8+H10</f>
        <v>1494839.5</v>
      </c>
      <c r="I7" s="42">
        <f t="shared" si="5"/>
        <v>1494284.5</v>
      </c>
      <c r="J7" s="29">
        <f t="shared" si="5"/>
        <v>1494284.4062099999</v>
      </c>
      <c r="K7" s="29">
        <f>'1.02.'!M7</f>
        <v>164988.70772999999</v>
      </c>
      <c r="L7" s="42">
        <f t="shared" si="5"/>
        <v>456117</v>
      </c>
      <c r="M7" s="29">
        <f t="shared" si="5"/>
        <v>1494284.4062099999</v>
      </c>
      <c r="N7" s="29">
        <f t="shared" si="5"/>
        <v>9.3789999998989515E-2</v>
      </c>
      <c r="O7" s="68">
        <f t="shared" si="4"/>
        <v>99.999993723417461</v>
      </c>
      <c r="P7" s="60">
        <f t="shared" si="1"/>
        <v>0</v>
      </c>
      <c r="Q7" s="29">
        <f t="shared" si="2"/>
        <v>555.09379000007175</v>
      </c>
      <c r="R7" s="74">
        <v>1103578</v>
      </c>
      <c r="S7" s="74">
        <f t="shared" si="3"/>
        <v>555970.59379000007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N8" si="6">G9</f>
        <v>2014974</v>
      </c>
      <c r="H8" s="59">
        <f t="shared" si="6"/>
        <v>1468420</v>
      </c>
      <c r="I8" s="59">
        <f t="shared" si="6"/>
        <v>1468420</v>
      </c>
      <c r="J8" s="33">
        <f>J9</f>
        <v>1468420</v>
      </c>
      <c r="K8" s="29">
        <f>'1.02.'!M8</f>
        <v>150000</v>
      </c>
      <c r="L8" s="29">
        <f t="shared" si="6"/>
        <v>456117</v>
      </c>
      <c r="M8" s="29">
        <f t="shared" si="6"/>
        <v>1468420</v>
      </c>
      <c r="N8" s="29">
        <f t="shared" si="6"/>
        <v>0</v>
      </c>
      <c r="O8" s="68">
        <f t="shared" si="4"/>
        <v>100</v>
      </c>
      <c r="P8" s="60">
        <f t="shared" si="1"/>
        <v>0</v>
      </c>
      <c r="Q8" s="29">
        <f t="shared" si="2"/>
        <v>0</v>
      </c>
      <c r="R8" s="74">
        <v>1103579</v>
      </c>
      <c r="S8" s="74">
        <f t="shared" si="3"/>
        <v>546554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1468420</v>
      </c>
      <c r="I9" s="37">
        <v>1468420</v>
      </c>
      <c r="J9" s="75">
        <f>M9</f>
        <v>1468420</v>
      </c>
      <c r="K9" s="35">
        <f>'1.08'!M9</f>
        <v>1012303</v>
      </c>
      <c r="L9" s="35">
        <v>456117</v>
      </c>
      <c r="M9" s="35">
        <f>K9+L9</f>
        <v>1468420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>H9-J9</f>
        <v>0</v>
      </c>
      <c r="R9" s="72">
        <v>1103580</v>
      </c>
      <c r="S9" s="72">
        <f>G9-M9</f>
        <v>546554</v>
      </c>
      <c r="T9" s="62">
        <f>G9-J9</f>
        <v>546554</v>
      </c>
    </row>
    <row r="10" spans="1:20" s="73" customFormat="1" ht="25.5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N10" si="7">H11+H12</f>
        <v>26419.5</v>
      </c>
      <c r="I10" s="59">
        <f t="shared" si="7"/>
        <v>25864.5</v>
      </c>
      <c r="J10" s="33">
        <f>J11+J12</f>
        <v>25864.406210000001</v>
      </c>
      <c r="K10" s="29">
        <f>'1.02.'!M10</f>
        <v>14988.70773</v>
      </c>
      <c r="L10" s="29">
        <f t="shared" si="7"/>
        <v>0</v>
      </c>
      <c r="M10" s="29">
        <f t="shared" si="7"/>
        <v>25864.406210000001</v>
      </c>
      <c r="N10" s="29">
        <f t="shared" si="7"/>
        <v>9.3789999998989515E-2</v>
      </c>
      <c r="O10" s="68">
        <f t="shared" si="4"/>
        <v>99.999637379419667</v>
      </c>
      <c r="P10" s="60">
        <f t="shared" ref="P10:P74" si="8">J10-M10</f>
        <v>0</v>
      </c>
      <c r="Q10" s="29">
        <f t="shared" ref="Q10:Q74" si="9">H10-J10</f>
        <v>555.09378999999899</v>
      </c>
      <c r="R10" s="74">
        <v>1103581</v>
      </c>
      <c r="S10" s="74">
        <f t="shared" ref="S10:S74" si="10">G10-M10</f>
        <v>9416.593789999999</v>
      </c>
      <c r="T10" s="62">
        <f t="shared" ref="T10:T45" si="11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'1.07. '!M11</f>
        <v>1190</v>
      </c>
      <c r="L11" s="35"/>
      <c r="M11" s="35">
        <f>K11+L11</f>
        <v>1190</v>
      </c>
      <c r="N11" s="35">
        <f>I11-M11</f>
        <v>0</v>
      </c>
      <c r="O11" s="70">
        <f t="shared" si="4"/>
        <v>100</v>
      </c>
      <c r="P11" s="71">
        <f>J11-M11</f>
        <v>0</v>
      </c>
      <c r="Q11" s="35">
        <f t="shared" si="9"/>
        <v>555</v>
      </c>
      <c r="R11" s="72">
        <v>1103582</v>
      </c>
      <c r="S11" s="72">
        <f t="shared" si="10"/>
        <v>555</v>
      </c>
      <c r="T11" s="62">
        <f t="shared" si="11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'1.07. '!M12</f>
        <v>24674.406210000001</v>
      </c>
      <c r="L12" s="35"/>
      <c r="M12" s="35">
        <f>K12+L12</f>
        <v>24674.406210000001</v>
      </c>
      <c r="N12" s="35">
        <f>I12-M12</f>
        <v>9.3789999998989515E-2</v>
      </c>
      <c r="O12" s="70">
        <f t="shared" si="4"/>
        <v>99.999619890980568</v>
      </c>
      <c r="P12" s="71">
        <f t="shared" si="8"/>
        <v>0</v>
      </c>
      <c r="Q12" s="35">
        <f t="shared" si="9"/>
        <v>9.3789999998989515E-2</v>
      </c>
      <c r="R12" s="72">
        <v>1103583</v>
      </c>
      <c r="S12" s="72">
        <f t="shared" si="10"/>
        <v>8861.593789999999</v>
      </c>
      <c r="T12" s="62">
        <f t="shared" si="11"/>
        <v>8861.593789999999</v>
      </c>
    </row>
    <row r="13" spans="1:20" ht="38.25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N13" si="12">G14</f>
        <v>272229</v>
      </c>
      <c r="H13" s="33">
        <f t="shared" si="12"/>
        <v>180817.19999999998</v>
      </c>
      <c r="I13" s="33">
        <f t="shared" si="12"/>
        <v>177463.09999999998</v>
      </c>
      <c r="J13" s="29">
        <f t="shared" si="12"/>
        <v>180738.79679000002</v>
      </c>
      <c r="K13" s="29">
        <f>'1.02.'!M13</f>
        <v>15275.257180000001</v>
      </c>
      <c r="L13" s="29">
        <f t="shared" si="12"/>
        <v>17553.294529999996</v>
      </c>
      <c r="M13" s="29">
        <f t="shared" si="12"/>
        <v>177383.36159000001</v>
      </c>
      <c r="N13" s="29">
        <f t="shared" si="12"/>
        <v>79.73841000000121</v>
      </c>
      <c r="O13" s="68">
        <f t="shared" si="4"/>
        <v>99.955067611238633</v>
      </c>
      <c r="P13" s="71">
        <f t="shared" si="8"/>
        <v>3355.4352000000072</v>
      </c>
      <c r="Q13" s="35">
        <f t="shared" si="9"/>
        <v>78.403209999960382</v>
      </c>
      <c r="R13" s="72">
        <v>1103584</v>
      </c>
      <c r="S13" s="72">
        <f t="shared" si="10"/>
        <v>94845.638409999985</v>
      </c>
      <c r="T13" s="62">
        <f t="shared" si="11"/>
        <v>91490.203209999978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SUM(G15:G34)</f>
        <v>272229</v>
      </c>
      <c r="H14" s="59">
        <f t="shared" ref="H14:K14" si="13">SUM(H15:H34)</f>
        <v>180817.19999999998</v>
      </c>
      <c r="I14" s="59">
        <f>SUM(I15:I34)</f>
        <v>177463.09999999998</v>
      </c>
      <c r="J14" s="29">
        <f t="shared" si="13"/>
        <v>180738.79679000002</v>
      </c>
      <c r="K14" s="29">
        <f t="shared" si="13"/>
        <v>159830.06706000003</v>
      </c>
      <c r="L14" s="29">
        <f>SUM(L15:L34)</f>
        <v>17553.294529999996</v>
      </c>
      <c r="M14" s="29">
        <f t="shared" ref="M14" si="14">SUM(M15:M34)</f>
        <v>177383.36159000001</v>
      </c>
      <c r="N14" s="29">
        <f>SUM(N15:N34)</f>
        <v>79.73841000000121</v>
      </c>
      <c r="O14" s="68">
        <f t="shared" si="4"/>
        <v>99.955067611238633</v>
      </c>
      <c r="P14" s="35">
        <f t="shared" si="8"/>
        <v>3355.4352000000072</v>
      </c>
      <c r="Q14" s="35">
        <f t="shared" si="9"/>
        <v>78.403209999960382</v>
      </c>
      <c r="R14" s="72">
        <v>1103585</v>
      </c>
      <c r="S14" s="72">
        <f t="shared" si="10"/>
        <v>94845.638409999985</v>
      </c>
      <c r="T14" s="62">
        <f>G14-J14</f>
        <v>91490.203209999978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121539-1020-413.7-2369</f>
        <v>117736.3</v>
      </c>
      <c r="H15" s="26">
        <v>76197.3</v>
      </c>
      <c r="I15" s="26">
        <v>76197.3</v>
      </c>
      <c r="J15" s="75">
        <f t="shared" ref="J15:J34" si="15">M15</f>
        <v>76197.3</v>
      </c>
      <c r="K15" s="35">
        <f>'1.08'!M15</f>
        <v>66197.3</v>
      </c>
      <c r="L15" s="27">
        <v>10000</v>
      </c>
      <c r="M15" s="35">
        <f>K15+L15</f>
        <v>76197.3</v>
      </c>
      <c r="N15" s="35">
        <f>I15-M15</f>
        <v>0</v>
      </c>
      <c r="O15" s="70">
        <f t="shared" si="4"/>
        <v>100</v>
      </c>
      <c r="P15" s="71">
        <f t="shared" si="8"/>
        <v>0</v>
      </c>
      <c r="Q15" s="35">
        <f t="shared" si="9"/>
        <v>0</v>
      </c>
      <c r="R15" s="72">
        <v>1103586</v>
      </c>
      <c r="S15" s="72">
        <f t="shared" si="10"/>
        <v>41539</v>
      </c>
      <c r="T15" s="62">
        <f t="shared" si="11"/>
        <v>41539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17318+7540+642.7+10108.4</f>
        <v>35609.1</v>
      </c>
      <c r="H16" s="26">
        <v>35609.1</v>
      </c>
      <c r="I16" s="26">
        <v>35609.1</v>
      </c>
      <c r="J16" s="75">
        <f t="shared" si="15"/>
        <v>35609.06</v>
      </c>
      <c r="K16" s="35">
        <f>'1.08'!M16</f>
        <v>35609.06</v>
      </c>
      <c r="L16" s="27"/>
      <c r="M16" s="35">
        <f t="shared" ref="M16:M34" si="16">K16+L16</f>
        <v>35609.06</v>
      </c>
      <c r="N16" s="35">
        <f t="shared" ref="N16:N34" si="17">I16-M16</f>
        <v>4.0000000000873115E-2</v>
      </c>
      <c r="O16" s="70">
        <f t="shared" si="4"/>
        <v>99.999887669163215</v>
      </c>
      <c r="P16" s="71">
        <f t="shared" si="8"/>
        <v>0</v>
      </c>
      <c r="Q16" s="35">
        <f t="shared" si="9"/>
        <v>4.0000000000873115E-2</v>
      </c>
      <c r="R16" s="72">
        <v>1103587</v>
      </c>
      <c r="S16" s="72">
        <f t="shared" si="10"/>
        <v>4.0000000000873115E-2</v>
      </c>
      <c r="T16" s="62">
        <f t="shared" si="11"/>
        <v>4.0000000000873115E-2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15075.6</v>
      </c>
      <c r="I17" s="26">
        <v>15075.6</v>
      </c>
      <c r="J17" s="75">
        <f t="shared" si="15"/>
        <v>15075.246000000001</v>
      </c>
      <c r="K17" s="35">
        <f>'1.08'!M17</f>
        <v>13159.042000000001</v>
      </c>
      <c r="L17" s="27">
        <v>1916.204</v>
      </c>
      <c r="M17" s="35">
        <f t="shared" si="16"/>
        <v>15075.246000000001</v>
      </c>
      <c r="N17" s="35">
        <f t="shared" si="17"/>
        <v>0.35399999999935972</v>
      </c>
      <c r="O17" s="70">
        <f t="shared" si="4"/>
        <v>99.997651834752858</v>
      </c>
      <c r="P17" s="71">
        <f t="shared" si="8"/>
        <v>0</v>
      </c>
      <c r="Q17" s="35">
        <f t="shared" si="9"/>
        <v>0.35399999999935972</v>
      </c>
      <c r="R17" s="72">
        <v>1103588</v>
      </c>
      <c r="S17" s="72">
        <f t="shared" si="10"/>
        <v>5180.753999999999</v>
      </c>
      <c r="T17" s="62">
        <f t="shared" si="11"/>
        <v>5180.753999999999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4860-300-110-100</f>
        <v>4350</v>
      </c>
      <c r="H18" s="26">
        <v>3065</v>
      </c>
      <c r="I18" s="26">
        <v>3065</v>
      </c>
      <c r="J18" s="75">
        <f t="shared" si="15"/>
        <v>3061.201</v>
      </c>
      <c r="K18" s="35">
        <f>'1.08'!M18</f>
        <v>2715</v>
      </c>
      <c r="L18" s="27">
        <v>346.20100000000002</v>
      </c>
      <c r="M18" s="35">
        <f>K18+L18</f>
        <v>3061.201</v>
      </c>
      <c r="N18" s="35">
        <f>I18-M18</f>
        <v>3.7989999999999782</v>
      </c>
      <c r="O18" s="70">
        <f>M18/I18*100</f>
        <v>99.876052202283844</v>
      </c>
      <c r="P18" s="71">
        <f t="shared" si="8"/>
        <v>0</v>
      </c>
      <c r="Q18" s="35">
        <f t="shared" si="9"/>
        <v>3.7989999999999782</v>
      </c>
      <c r="R18" s="72">
        <v>1103589</v>
      </c>
      <c r="S18" s="72">
        <f t="shared" si="10"/>
        <v>1288.799</v>
      </c>
      <c r="T18" s="62">
        <f t="shared" si="11"/>
        <v>1288.799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6064</v>
      </c>
      <c r="I19" s="26">
        <v>6064</v>
      </c>
      <c r="J19" s="75">
        <f t="shared" si="15"/>
        <v>6064</v>
      </c>
      <c r="K19" s="35">
        <f>'1.08'!M19</f>
        <v>5331</v>
      </c>
      <c r="L19" s="27">
        <v>733</v>
      </c>
      <c r="M19" s="35">
        <f t="shared" si="16"/>
        <v>6064</v>
      </c>
      <c r="N19" s="35">
        <f t="shared" si="17"/>
        <v>0</v>
      </c>
      <c r="O19" s="70">
        <f t="shared" si="4"/>
        <v>100</v>
      </c>
      <c r="P19" s="71">
        <f t="shared" si="8"/>
        <v>0</v>
      </c>
      <c r="Q19" s="35">
        <f t="shared" si="9"/>
        <v>0</v>
      </c>
      <c r="R19" s="72">
        <v>1103590</v>
      </c>
      <c r="S19" s="72">
        <f t="shared" si="10"/>
        <v>2267</v>
      </c>
      <c r="T19" s="62">
        <f t="shared" si="11"/>
        <v>2267</v>
      </c>
    </row>
    <row r="20" spans="1:20" s="73" customFormat="1">
      <c r="A20" s="9"/>
      <c r="B20" s="9"/>
      <c r="C20" s="9"/>
      <c r="D20" s="69"/>
      <c r="E20" s="69">
        <v>122</v>
      </c>
      <c r="F20" s="136" t="s">
        <v>91</v>
      </c>
      <c r="G20" s="26">
        <f>6943-520-65-200</f>
        <v>6158</v>
      </c>
      <c r="H20" s="26">
        <v>4338</v>
      </c>
      <c r="I20" s="26">
        <v>4338</v>
      </c>
      <c r="J20" s="75">
        <f t="shared" si="15"/>
        <v>4334.1139299999995</v>
      </c>
      <c r="K20" s="35">
        <f>'1.08'!M20</f>
        <v>3779.99964</v>
      </c>
      <c r="L20" s="27">
        <v>554.11428999999998</v>
      </c>
      <c r="M20" s="35">
        <f t="shared" si="16"/>
        <v>4334.1139299999995</v>
      </c>
      <c r="N20" s="35">
        <f t="shared" si="17"/>
        <v>3.8860700000004726</v>
      </c>
      <c r="O20" s="70">
        <f t="shared" si="4"/>
        <v>99.910417934532035</v>
      </c>
      <c r="P20" s="71">
        <f t="shared" si="8"/>
        <v>0</v>
      </c>
      <c r="Q20" s="35">
        <f t="shared" si="9"/>
        <v>3.8860700000004726</v>
      </c>
      <c r="R20" s="72">
        <v>1103591</v>
      </c>
      <c r="S20" s="72">
        <f t="shared" si="10"/>
        <v>1823.8860700000005</v>
      </c>
      <c r="T20" s="62">
        <f t="shared" si="11"/>
        <v>1823.8860700000005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>
        <v>30</v>
      </c>
      <c r="I21" s="26">
        <v>30</v>
      </c>
      <c r="J21" s="75">
        <f t="shared" si="15"/>
        <v>0</v>
      </c>
      <c r="K21" s="35">
        <f>'1.08'!M21</f>
        <v>0</v>
      </c>
      <c r="L21" s="27"/>
      <c r="M21" s="35">
        <f t="shared" si="16"/>
        <v>0</v>
      </c>
      <c r="N21" s="35">
        <f t="shared" si="17"/>
        <v>30</v>
      </c>
      <c r="O21" s="70">
        <f t="shared" si="4"/>
        <v>0</v>
      </c>
      <c r="P21" s="71">
        <f t="shared" si="8"/>
        <v>0</v>
      </c>
      <c r="Q21" s="35">
        <f t="shared" si="9"/>
        <v>30</v>
      </c>
      <c r="R21" s="72">
        <v>1103592</v>
      </c>
      <c r="S21" s="72">
        <f t="shared" si="10"/>
        <v>63</v>
      </c>
      <c r="T21" s="62">
        <f t="shared" si="11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4166-200-54</f>
        <v>3912</v>
      </c>
      <c r="H22" s="26">
        <v>2719</v>
      </c>
      <c r="I22" s="26">
        <v>2719</v>
      </c>
      <c r="J22" s="75">
        <f t="shared" si="15"/>
        <v>2718.7108399999997</v>
      </c>
      <c r="K22" s="35">
        <f>'1.08'!M22</f>
        <v>2365.9998399999995</v>
      </c>
      <c r="L22" s="27">
        <v>352.71100000000001</v>
      </c>
      <c r="M22" s="35">
        <f t="shared" si="16"/>
        <v>2718.7108399999997</v>
      </c>
      <c r="N22" s="35">
        <f t="shared" si="17"/>
        <v>0.28916000000026543</v>
      </c>
      <c r="O22" s="70">
        <f t="shared" si="4"/>
        <v>99.989365207796979</v>
      </c>
      <c r="P22" s="71">
        <f t="shared" si="8"/>
        <v>0</v>
      </c>
      <c r="Q22" s="35">
        <f t="shared" si="9"/>
        <v>0.28916000000026543</v>
      </c>
      <c r="R22" s="72">
        <v>1103593</v>
      </c>
      <c r="S22" s="72">
        <f t="shared" si="10"/>
        <v>1193.2891600000003</v>
      </c>
      <c r="T22" s="62">
        <f t="shared" si="11"/>
        <v>1193.2891600000003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12518</v>
      </c>
      <c r="I23" s="26">
        <v>12518</v>
      </c>
      <c r="J23" s="75">
        <f t="shared" si="15"/>
        <v>12518</v>
      </c>
      <c r="K23" s="35">
        <f>'1.08'!M23</f>
        <v>11318</v>
      </c>
      <c r="L23" s="27">
        <v>1200</v>
      </c>
      <c r="M23" s="35">
        <f t="shared" si="16"/>
        <v>12518</v>
      </c>
      <c r="N23" s="35">
        <f t="shared" si="17"/>
        <v>0</v>
      </c>
      <c r="O23" s="70">
        <f t="shared" si="4"/>
        <v>100</v>
      </c>
      <c r="P23" s="71">
        <f t="shared" si="8"/>
        <v>0</v>
      </c>
      <c r="Q23" s="35">
        <f t="shared" si="9"/>
        <v>0</v>
      </c>
      <c r="R23" s="72">
        <v>1103594</v>
      </c>
      <c r="S23" s="72">
        <f t="shared" si="10"/>
        <v>6815</v>
      </c>
      <c r="T23" s="62">
        <f t="shared" si="11"/>
        <v>6815</v>
      </c>
    </row>
    <row r="24" spans="1:20" s="73" customFormat="1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1561</v>
      </c>
      <c r="I24" s="26">
        <v>1561</v>
      </c>
      <c r="J24" s="75">
        <f t="shared" si="15"/>
        <v>1561</v>
      </c>
      <c r="K24" s="35">
        <f>'1.08'!M24</f>
        <v>1435</v>
      </c>
      <c r="L24" s="27">
        <v>126</v>
      </c>
      <c r="M24" s="35">
        <f t="shared" si="16"/>
        <v>1561</v>
      </c>
      <c r="N24" s="35">
        <f t="shared" si="17"/>
        <v>0</v>
      </c>
      <c r="O24" s="70">
        <f t="shared" si="4"/>
        <v>100</v>
      </c>
      <c r="P24" s="71">
        <f t="shared" si="8"/>
        <v>0</v>
      </c>
      <c r="Q24" s="35">
        <f t="shared" si="9"/>
        <v>0</v>
      </c>
      <c r="R24" s="72">
        <v>1103595</v>
      </c>
      <c r="S24" s="72">
        <f t="shared" si="10"/>
        <v>1568</v>
      </c>
      <c r="T24" s="62">
        <f t="shared" si="11"/>
        <v>1568</v>
      </c>
    </row>
    <row r="25" spans="1:20" s="73" customFormat="1" hidden="1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5"/>
        <v>0</v>
      </c>
      <c r="K25" s="35">
        <f>'1.08'!M25</f>
        <v>0</v>
      </c>
      <c r="L25" s="27"/>
      <c r="M25" s="35">
        <f t="shared" si="16"/>
        <v>0</v>
      </c>
      <c r="N25" s="35">
        <f t="shared" si="17"/>
        <v>0</v>
      </c>
      <c r="O25" s="70" t="e">
        <f t="shared" si="4"/>
        <v>#DIV/0!</v>
      </c>
      <c r="P25" s="71">
        <f t="shared" si="8"/>
        <v>0</v>
      </c>
      <c r="Q25" s="35">
        <f t="shared" si="9"/>
        <v>0</v>
      </c>
      <c r="R25" s="72">
        <v>1103596</v>
      </c>
      <c r="S25" s="72">
        <f t="shared" si="10"/>
        <v>0</v>
      </c>
      <c r="T25" s="62">
        <f t="shared" si="11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'1.08'!M26</f>
        <v>2074.99856</v>
      </c>
      <c r="L26" s="27"/>
      <c r="M26" s="35">
        <f t="shared" si="16"/>
        <v>2074.99856</v>
      </c>
      <c r="N26" s="35">
        <f t="shared" si="17"/>
        <v>1.4400000000023283E-3</v>
      </c>
      <c r="O26" s="70">
        <f t="shared" si="4"/>
        <v>99.999930602409634</v>
      </c>
      <c r="P26" s="71">
        <f t="shared" si="8"/>
        <v>0</v>
      </c>
      <c r="Q26" s="35">
        <f t="shared" si="9"/>
        <v>1.4400000000023283E-3</v>
      </c>
      <c r="R26" s="72">
        <v>1103597</v>
      </c>
      <c r="S26" s="72">
        <f t="shared" si="10"/>
        <v>1.4400000000023283E-3</v>
      </c>
      <c r="T26" s="62">
        <f t="shared" si="11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464.8</v>
      </c>
      <c r="I27" s="26">
        <v>464.8</v>
      </c>
      <c r="J27" s="75">
        <f>M27</f>
        <v>464.31374</v>
      </c>
      <c r="K27" s="35">
        <f>'1.08'!M27</f>
        <v>429.76</v>
      </c>
      <c r="L27" s="27">
        <v>34.553739999999998</v>
      </c>
      <c r="M27" s="35">
        <f t="shared" si="16"/>
        <v>464.31374</v>
      </c>
      <c r="N27" s="35">
        <f t="shared" si="17"/>
        <v>0.48626000000001568</v>
      </c>
      <c r="O27" s="70">
        <f t="shared" si="4"/>
        <v>99.895382960413087</v>
      </c>
      <c r="P27" s="71">
        <f t="shared" si="8"/>
        <v>0</v>
      </c>
      <c r="Q27" s="35">
        <f t="shared" si="9"/>
        <v>0.48626000000001568</v>
      </c>
      <c r="R27" s="72">
        <v>1103598</v>
      </c>
      <c r="S27" s="72">
        <f t="shared" si="10"/>
        <v>3705.6862599999999</v>
      </c>
      <c r="T27" s="62">
        <f t="shared" si="11"/>
        <v>3705.6862599999999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f>10733+8578</f>
        <v>19311</v>
      </c>
      <c r="H28" s="26">
        <v>6735.3</v>
      </c>
      <c r="I28" s="26">
        <v>6735.3</v>
      </c>
      <c r="J28" s="75">
        <f t="shared" si="15"/>
        <v>6696.5155500000001</v>
      </c>
      <c r="K28" s="35">
        <f>'1.08'!M28</f>
        <v>6435.2422699999997</v>
      </c>
      <c r="L28" s="27">
        <v>261.27328</v>
      </c>
      <c r="M28" s="35">
        <f t="shared" si="16"/>
        <v>6696.5155500000001</v>
      </c>
      <c r="N28" s="35">
        <f t="shared" si="17"/>
        <v>38.784450000000106</v>
      </c>
      <c r="O28" s="70">
        <f t="shared" si="4"/>
        <v>99.42416150728252</v>
      </c>
      <c r="P28" s="71">
        <f t="shared" si="8"/>
        <v>0</v>
      </c>
      <c r="Q28" s="35">
        <f t="shared" si="9"/>
        <v>38.784450000000106</v>
      </c>
      <c r="R28" s="72">
        <v>1103599</v>
      </c>
      <c r="S28" s="72">
        <f t="shared" si="10"/>
        <v>12614.48445</v>
      </c>
      <c r="T28" s="62">
        <f t="shared" si="11"/>
        <v>12614.48445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f>7302-555</f>
        <v>6747</v>
      </c>
      <c r="H29" s="26">
        <v>5416.5</v>
      </c>
      <c r="I29" s="26">
        <v>2964.8</v>
      </c>
      <c r="J29" s="75">
        <v>5416.4143599999998</v>
      </c>
      <c r="K29" s="35">
        <f>'1.08'!M29</f>
        <v>2429.6</v>
      </c>
      <c r="L29" s="27">
        <v>535.17684999999994</v>
      </c>
      <c r="M29" s="35">
        <f t="shared" si="16"/>
        <v>2964.7768499999997</v>
      </c>
      <c r="N29" s="35">
        <f t="shared" si="17"/>
        <v>2.3150000000441651E-2</v>
      </c>
      <c r="O29" s="70">
        <f t="shared" si="4"/>
        <v>99.999219171613589</v>
      </c>
      <c r="P29" s="71">
        <f t="shared" si="8"/>
        <v>2451.63751</v>
      </c>
      <c r="Q29" s="35">
        <f t="shared" si="9"/>
        <v>8.5640000000239525E-2</v>
      </c>
      <c r="R29" s="72">
        <v>1103600</v>
      </c>
      <c r="S29" s="72">
        <f t="shared" si="10"/>
        <v>3782.2231500000003</v>
      </c>
      <c r="T29" s="62">
        <f t="shared" si="11"/>
        <v>1330.5856400000002</v>
      </c>
    </row>
    <row r="30" spans="1:20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488</v>
      </c>
      <c r="J30" s="75">
        <v>730</v>
      </c>
      <c r="K30" s="35">
        <f>'1.08'!M30</f>
        <v>425.8309999999999</v>
      </c>
      <c r="L30" s="27">
        <v>60.832999999999998</v>
      </c>
      <c r="M30" s="35">
        <f t="shared" si="16"/>
        <v>486.66399999999987</v>
      </c>
      <c r="N30" s="35">
        <f t="shared" si="17"/>
        <v>1.3360000000001264</v>
      </c>
      <c r="O30" s="70">
        <f t="shared" si="4"/>
        <v>99.726229508196695</v>
      </c>
      <c r="P30" s="71">
        <f t="shared" si="8"/>
        <v>243.33600000000013</v>
      </c>
      <c r="Q30" s="35">
        <f t="shared" si="9"/>
        <v>0</v>
      </c>
      <c r="R30" s="72">
        <v>1103601</v>
      </c>
      <c r="S30" s="72">
        <f t="shared" si="10"/>
        <v>243.33600000000013</v>
      </c>
      <c r="T30" s="62">
        <f t="shared" si="11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2649+450+3000</f>
        <v>6099</v>
      </c>
      <c r="H31" s="26">
        <v>3036</v>
      </c>
      <c r="I31" s="26">
        <v>2375.6</v>
      </c>
      <c r="J31" s="35">
        <v>3035.9999899999998</v>
      </c>
      <c r="K31" s="35">
        <f>'1.08'!M31</f>
        <v>1959.14275</v>
      </c>
      <c r="L31" s="27">
        <v>416.39555000000001</v>
      </c>
      <c r="M31" s="35">
        <f t="shared" si="16"/>
        <v>2375.5383000000002</v>
      </c>
      <c r="N31" s="35">
        <f t="shared" si="17"/>
        <v>6.1699999999746069E-2</v>
      </c>
      <c r="O31" s="70">
        <f t="shared" si="4"/>
        <v>99.997402761407656</v>
      </c>
      <c r="P31" s="71">
        <f t="shared" si="8"/>
        <v>660.46168999999963</v>
      </c>
      <c r="Q31" s="35">
        <f t="shared" si="9"/>
        <v>1.0000000202126103E-5</v>
      </c>
      <c r="R31" s="72">
        <v>1103602</v>
      </c>
      <c r="S31" s="72">
        <f t="shared" si="10"/>
        <v>3723.4616999999998</v>
      </c>
      <c r="T31" s="62">
        <f t="shared" si="11"/>
        <v>3063.0000100000002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27054-450-5500-5-6884.4-2</f>
        <v>14212.6</v>
      </c>
      <c r="H32" s="26">
        <v>5175.6000000000004</v>
      </c>
      <c r="I32" s="26">
        <v>5175.6000000000004</v>
      </c>
      <c r="J32" s="75">
        <f t="shared" si="15"/>
        <v>5174.9580000000005</v>
      </c>
      <c r="K32" s="35">
        <f>'1.08'!M32</f>
        <v>4160.0910000000003</v>
      </c>
      <c r="L32" s="27">
        <v>1014.867</v>
      </c>
      <c r="M32" s="35">
        <f t="shared" si="16"/>
        <v>5174.9580000000005</v>
      </c>
      <c r="N32" s="35">
        <f t="shared" si="17"/>
        <v>0.64199999999982538</v>
      </c>
      <c r="O32" s="70">
        <f t="shared" si="4"/>
        <v>99.987595641085093</v>
      </c>
      <c r="P32" s="71">
        <f t="shared" si="8"/>
        <v>0</v>
      </c>
      <c r="Q32" s="35">
        <f t="shared" si="9"/>
        <v>0.64199999999982538</v>
      </c>
      <c r="R32" s="72">
        <v>1103603</v>
      </c>
      <c r="S32" s="72">
        <f t="shared" si="10"/>
        <v>9037.6419999999998</v>
      </c>
      <c r="T32" s="62">
        <f t="shared" si="11"/>
        <v>9037.6419999999998</v>
      </c>
    </row>
    <row r="33" spans="1:20" s="73" customFormat="1">
      <c r="A33" s="9"/>
      <c r="B33" s="9"/>
      <c r="C33" s="9"/>
      <c r="D33" s="69"/>
      <c r="E33" s="69">
        <v>168</v>
      </c>
      <c r="F33" s="136" t="s">
        <v>167</v>
      </c>
      <c r="G33" s="26">
        <f>5+2</f>
        <v>7</v>
      </c>
      <c r="H33" s="26">
        <v>7</v>
      </c>
      <c r="I33" s="26">
        <v>7</v>
      </c>
      <c r="J33" s="75">
        <f t="shared" si="15"/>
        <v>6.9648199999999996</v>
      </c>
      <c r="K33" s="35">
        <f>'1.08'!M33</f>
        <v>5</v>
      </c>
      <c r="L33" s="27">
        <v>1.96482</v>
      </c>
      <c r="M33" s="35">
        <f t="shared" si="16"/>
        <v>6.9648199999999996</v>
      </c>
      <c r="N33" s="35">
        <f t="shared" si="17"/>
        <v>3.5180000000000433E-2</v>
      </c>
      <c r="O33" s="70">
        <f t="shared" si="4"/>
        <v>99.497428571428571</v>
      </c>
      <c r="P33" s="71">
        <f t="shared" si="8"/>
        <v>0</v>
      </c>
      <c r="Q33" s="35">
        <f t="shared" si="9"/>
        <v>3.5180000000000433E-2</v>
      </c>
      <c r="R33" s="72">
        <v>1103604</v>
      </c>
      <c r="S33" s="72">
        <f t="shared" si="10"/>
        <v>3.5180000000000433E-2</v>
      </c>
      <c r="T33" s="62"/>
    </row>
    <row r="34" spans="1:20" s="73" customFormat="1">
      <c r="A34" s="9"/>
      <c r="B34" s="9"/>
      <c r="C34" s="9"/>
      <c r="D34" s="69"/>
      <c r="E34" s="69">
        <v>169</v>
      </c>
      <c r="F34" s="136" t="s">
        <v>103</v>
      </c>
      <c r="G34" s="26"/>
      <c r="H34" s="26"/>
      <c r="I34" s="26"/>
      <c r="J34" s="75">
        <f t="shared" si="15"/>
        <v>0</v>
      </c>
      <c r="K34" s="35">
        <f>'1.08'!M34</f>
        <v>0</v>
      </c>
      <c r="L34" s="27"/>
      <c r="M34" s="35">
        <f t="shared" si="16"/>
        <v>0</v>
      </c>
      <c r="N34" s="35">
        <f t="shared" si="17"/>
        <v>0</v>
      </c>
      <c r="O34" s="70" t="e">
        <f t="shared" si="4"/>
        <v>#DIV/0!</v>
      </c>
      <c r="P34" s="71">
        <f t="shared" si="8"/>
        <v>0</v>
      </c>
      <c r="Q34" s="35">
        <f t="shared" si="9"/>
        <v>0</v>
      </c>
      <c r="R34" s="72">
        <v>1103604</v>
      </c>
      <c r="S34" s="72">
        <f t="shared" si="10"/>
        <v>0</v>
      </c>
      <c r="T34" s="62">
        <f t="shared" si="11"/>
        <v>0</v>
      </c>
    </row>
    <row r="35" spans="1:20">
      <c r="A35" s="9"/>
      <c r="B35" s="9"/>
      <c r="C35" s="8" t="s">
        <v>16</v>
      </c>
      <c r="D35" s="69"/>
      <c r="E35" s="69"/>
      <c r="F35" s="120" t="s">
        <v>104</v>
      </c>
      <c r="G35" s="23">
        <f>G36+G37+G38</f>
        <v>2325</v>
      </c>
      <c r="H35" s="23">
        <f t="shared" ref="H35:M35" si="18">H36+H37+H38</f>
        <v>400</v>
      </c>
      <c r="I35" s="23">
        <f t="shared" si="18"/>
        <v>0</v>
      </c>
      <c r="J35" s="23">
        <f t="shared" si="18"/>
        <v>399.98500000000001</v>
      </c>
      <c r="K35" s="35">
        <f>'1.05.'!M34</f>
        <v>0</v>
      </c>
      <c r="L35" s="24">
        <f t="shared" si="18"/>
        <v>0</v>
      </c>
      <c r="M35" s="24">
        <f t="shared" si="18"/>
        <v>0</v>
      </c>
      <c r="N35" s="24">
        <f>N36+N37+N38</f>
        <v>0</v>
      </c>
      <c r="O35" s="70" t="e">
        <f t="shared" si="4"/>
        <v>#DIV/0!</v>
      </c>
      <c r="P35" s="71">
        <f t="shared" si="8"/>
        <v>399.98500000000001</v>
      </c>
      <c r="Q35" s="35">
        <f t="shared" si="9"/>
        <v>1.4999999999986358E-2</v>
      </c>
      <c r="R35" s="72">
        <v>1103605</v>
      </c>
      <c r="S35" s="72">
        <f t="shared" si="10"/>
        <v>2325</v>
      </c>
      <c r="T35" s="62">
        <f t="shared" si="11"/>
        <v>1925.0149999999999</v>
      </c>
    </row>
    <row r="36" spans="1:20" hidden="1">
      <c r="A36" s="9"/>
      <c r="B36" s="9"/>
      <c r="C36" s="8"/>
      <c r="D36" s="69"/>
      <c r="E36" s="69">
        <v>413</v>
      </c>
      <c r="F36" s="78" t="s">
        <v>17</v>
      </c>
      <c r="G36" s="26"/>
      <c r="H36" s="26"/>
      <c r="I36" s="26"/>
      <c r="J36" s="105"/>
      <c r="K36" s="35">
        <f>'1.05.'!M35</f>
        <v>0</v>
      </c>
      <c r="L36" s="27"/>
      <c r="M36" s="35">
        <f t="shared" ref="M36:M38" si="19">K36+L36</f>
        <v>0</v>
      </c>
      <c r="N36" s="27"/>
      <c r="O36" s="70" t="e">
        <f t="shared" si="4"/>
        <v>#DIV/0!</v>
      </c>
      <c r="P36" s="71">
        <f t="shared" si="8"/>
        <v>0</v>
      </c>
      <c r="Q36" s="35">
        <f t="shared" si="9"/>
        <v>0</v>
      </c>
      <c r="R36" s="72">
        <v>1103606</v>
      </c>
      <c r="S36" s="72">
        <f t="shared" si="10"/>
        <v>0</v>
      </c>
      <c r="T36" s="62">
        <f t="shared" si="11"/>
        <v>0</v>
      </c>
    </row>
    <row r="37" spans="1:20" ht="25.5">
      <c r="A37" s="9"/>
      <c r="B37" s="9"/>
      <c r="C37" s="9"/>
      <c r="D37" s="69"/>
      <c r="E37" s="69">
        <v>414</v>
      </c>
      <c r="F37" s="50" t="s">
        <v>105</v>
      </c>
      <c r="G37" s="26">
        <v>2325</v>
      </c>
      <c r="H37" s="26">
        <v>400</v>
      </c>
      <c r="I37" s="26"/>
      <c r="J37" s="105">
        <v>399.98500000000001</v>
      </c>
      <c r="K37" s="35">
        <f>'1.05.'!M36</f>
        <v>0</v>
      </c>
      <c r="L37" s="27"/>
      <c r="M37" s="35">
        <f t="shared" si="19"/>
        <v>0</v>
      </c>
      <c r="N37" s="35">
        <f t="shared" ref="N37:N38" si="20">I37-M37</f>
        <v>0</v>
      </c>
      <c r="O37" s="70" t="e">
        <f t="shared" si="4"/>
        <v>#DIV/0!</v>
      </c>
      <c r="P37" s="71">
        <f t="shared" si="8"/>
        <v>399.98500000000001</v>
      </c>
      <c r="Q37" s="35">
        <f t="shared" si="9"/>
        <v>1.4999999999986358E-2</v>
      </c>
      <c r="R37" s="72">
        <v>1103607</v>
      </c>
      <c r="S37" s="72">
        <f t="shared" si="10"/>
        <v>2325</v>
      </c>
      <c r="T37" s="62">
        <f t="shared" si="11"/>
        <v>1925.0149999999999</v>
      </c>
    </row>
    <row r="38" spans="1:20" hidden="1">
      <c r="A38" s="9"/>
      <c r="B38" s="9"/>
      <c r="C38" s="9"/>
      <c r="D38" s="69"/>
      <c r="E38" s="69">
        <v>419</v>
      </c>
      <c r="F38" s="86" t="s">
        <v>57</v>
      </c>
      <c r="G38" s="26"/>
      <c r="H38" s="26"/>
      <c r="I38" s="26"/>
      <c r="J38" s="105">
        <f>M38</f>
        <v>0</v>
      </c>
      <c r="K38" s="35">
        <f>'1.05.'!M37</f>
        <v>0</v>
      </c>
      <c r="L38" s="27"/>
      <c r="M38" s="35">
        <f t="shared" si="19"/>
        <v>0</v>
      </c>
      <c r="N38" s="35">
        <f t="shared" si="20"/>
        <v>0</v>
      </c>
      <c r="O38" s="70" t="e">
        <f t="shared" si="4"/>
        <v>#DIV/0!</v>
      </c>
      <c r="P38" s="71">
        <f t="shared" si="8"/>
        <v>0</v>
      </c>
      <c r="Q38" s="35">
        <f t="shared" si="9"/>
        <v>0</v>
      </c>
      <c r="R38" s="72">
        <v>1103608</v>
      </c>
      <c r="S38" s="72">
        <f t="shared" si="10"/>
        <v>0</v>
      </c>
    </row>
    <row r="39" spans="1:20" ht="25.5">
      <c r="A39" s="9"/>
      <c r="B39" s="9"/>
      <c r="C39" s="8" t="s">
        <v>15</v>
      </c>
      <c r="D39" s="21"/>
      <c r="E39" s="21"/>
      <c r="F39" s="120" t="s">
        <v>106</v>
      </c>
      <c r="G39" s="59">
        <f t="shared" ref="G39:N39" si="21">G40</f>
        <v>10400</v>
      </c>
      <c r="H39" s="59">
        <f t="shared" si="21"/>
        <v>10400</v>
      </c>
      <c r="I39" s="59">
        <f>I40</f>
        <v>0</v>
      </c>
      <c r="J39" s="33">
        <f t="shared" si="21"/>
        <v>0</v>
      </c>
      <c r="K39" s="35">
        <f>'1.02.'!M38</f>
        <v>0</v>
      </c>
      <c r="L39" s="29">
        <f t="shared" si="21"/>
        <v>0</v>
      </c>
      <c r="M39" s="29">
        <f t="shared" si="21"/>
        <v>0</v>
      </c>
      <c r="N39" s="29">
        <f t="shared" si="21"/>
        <v>0</v>
      </c>
      <c r="O39" s="70" t="e">
        <f t="shared" si="4"/>
        <v>#DIV/0!</v>
      </c>
      <c r="P39" s="71">
        <f t="shared" si="8"/>
        <v>0</v>
      </c>
      <c r="Q39" s="35">
        <f t="shared" si="9"/>
        <v>10400</v>
      </c>
      <c r="R39" s="72">
        <v>1103609</v>
      </c>
      <c r="S39" s="72">
        <f t="shared" si="10"/>
        <v>10400</v>
      </c>
      <c r="T39" s="62">
        <f t="shared" si="11"/>
        <v>10400</v>
      </c>
    </row>
    <row r="40" spans="1:20">
      <c r="A40" s="9"/>
      <c r="B40" s="9"/>
      <c r="C40" s="8"/>
      <c r="D40" s="54" t="s">
        <v>35</v>
      </c>
      <c r="E40" s="69"/>
      <c r="F40" s="122"/>
      <c r="G40" s="37">
        <f>G41</f>
        <v>10400</v>
      </c>
      <c r="H40" s="37">
        <f>H41</f>
        <v>10400</v>
      </c>
      <c r="I40" s="37">
        <f>I41</f>
        <v>0</v>
      </c>
      <c r="J40" s="75">
        <f>J41</f>
        <v>0</v>
      </c>
      <c r="K40" s="35">
        <f>'1.02.'!M39</f>
        <v>0</v>
      </c>
      <c r="L40" s="35"/>
      <c r="M40" s="35">
        <f>M41</f>
        <v>0</v>
      </c>
      <c r="N40" s="35">
        <f>N41</f>
        <v>0</v>
      </c>
      <c r="O40" s="70" t="e">
        <f t="shared" si="4"/>
        <v>#DIV/0!</v>
      </c>
      <c r="P40" s="71">
        <f t="shared" si="8"/>
        <v>0</v>
      </c>
      <c r="Q40" s="35">
        <f t="shared" si="9"/>
        <v>10400</v>
      </c>
      <c r="R40" s="72">
        <v>1103610</v>
      </c>
      <c r="S40" s="72">
        <f t="shared" si="10"/>
        <v>10400</v>
      </c>
      <c r="T40" s="62">
        <f t="shared" si="11"/>
        <v>10400</v>
      </c>
    </row>
    <row r="41" spans="1:20" ht="25.5">
      <c r="A41" s="9"/>
      <c r="B41" s="9"/>
      <c r="C41" s="9"/>
      <c r="D41" s="69"/>
      <c r="E41" s="69">
        <v>155</v>
      </c>
      <c r="F41" s="117" t="s">
        <v>107</v>
      </c>
      <c r="G41" s="37">
        <v>10400</v>
      </c>
      <c r="H41" s="37">
        <v>10400</v>
      </c>
      <c r="I41" s="37">
        <v>0</v>
      </c>
      <c r="J41" s="75">
        <f>M41</f>
        <v>0</v>
      </c>
      <c r="K41" s="35">
        <f>'1.06.'!M41</f>
        <v>0</v>
      </c>
      <c r="L41" s="35"/>
      <c r="M41" s="35">
        <f t="shared" ref="M41" si="22">K41+L41</f>
        <v>0</v>
      </c>
      <c r="N41" s="35">
        <f t="shared" ref="N41" si="23">I41-M41</f>
        <v>0</v>
      </c>
      <c r="O41" s="70" t="e">
        <f t="shared" si="4"/>
        <v>#DIV/0!</v>
      </c>
      <c r="P41" s="71">
        <f t="shared" si="8"/>
        <v>0</v>
      </c>
      <c r="Q41" s="35">
        <f t="shared" si="9"/>
        <v>10400</v>
      </c>
      <c r="R41" s="72">
        <v>1103611</v>
      </c>
      <c r="S41" s="72">
        <f t="shared" si="10"/>
        <v>10400</v>
      </c>
      <c r="T41" s="62">
        <f t="shared" si="11"/>
        <v>10400</v>
      </c>
    </row>
    <row r="42" spans="1:20" s="73" customFormat="1" ht="38.25">
      <c r="A42" s="116"/>
      <c r="B42" s="116"/>
      <c r="C42" s="119" t="s">
        <v>61</v>
      </c>
      <c r="D42" s="116"/>
      <c r="E42" s="116"/>
      <c r="F42" s="120" t="s">
        <v>62</v>
      </c>
      <c r="G42" s="59">
        <f t="shared" ref="G42:N43" si="24">G43</f>
        <v>1064315</v>
      </c>
      <c r="H42" s="59">
        <f t="shared" si="24"/>
        <v>63281.7</v>
      </c>
      <c r="I42" s="59">
        <f t="shared" si="24"/>
        <v>63281.7</v>
      </c>
      <c r="J42" s="33">
        <f t="shared" si="24"/>
        <v>63281.534240000001</v>
      </c>
      <c r="K42" s="33">
        <f t="shared" si="24"/>
        <v>27701.504280000001</v>
      </c>
      <c r="L42" s="33">
        <f t="shared" si="24"/>
        <v>35580.02996</v>
      </c>
      <c r="M42" s="29">
        <f t="shared" si="24"/>
        <v>63281.534240000001</v>
      </c>
      <c r="N42" s="29">
        <f t="shared" si="24"/>
        <v>0.16575999999622582</v>
      </c>
      <c r="O42" s="68">
        <f t="shared" si="4"/>
        <v>99.999738060134291</v>
      </c>
      <c r="P42" s="60">
        <f t="shared" si="8"/>
        <v>0</v>
      </c>
      <c r="Q42" s="29">
        <f t="shared" si="9"/>
        <v>0.16575999999622582</v>
      </c>
      <c r="R42" s="74">
        <v>1103612</v>
      </c>
      <c r="S42" s="74">
        <f t="shared" si="10"/>
        <v>1001033.4657600001</v>
      </c>
    </row>
    <row r="43" spans="1:20">
      <c r="A43" s="118"/>
      <c r="B43" s="118"/>
      <c r="C43" s="116"/>
      <c r="D43" s="121" t="s">
        <v>35</v>
      </c>
      <c r="E43" s="118"/>
      <c r="F43" s="122"/>
      <c r="G43" s="37">
        <f t="shared" si="24"/>
        <v>1064315</v>
      </c>
      <c r="H43" s="37">
        <f t="shared" si="24"/>
        <v>63281.7</v>
      </c>
      <c r="I43" s="37">
        <f t="shared" si="24"/>
        <v>63281.7</v>
      </c>
      <c r="J43" s="75">
        <f t="shared" si="24"/>
        <v>63281.534240000001</v>
      </c>
      <c r="K43" s="75">
        <f t="shared" si="24"/>
        <v>27701.504280000001</v>
      </c>
      <c r="L43" s="75">
        <f t="shared" si="24"/>
        <v>35580.02996</v>
      </c>
      <c r="M43" s="35">
        <f t="shared" si="24"/>
        <v>63281.534240000001</v>
      </c>
      <c r="N43" s="35">
        <f t="shared" si="24"/>
        <v>0.16575999999622582</v>
      </c>
      <c r="O43" s="70">
        <f t="shared" si="4"/>
        <v>99.999738060134291</v>
      </c>
      <c r="P43" s="71">
        <f t="shared" si="8"/>
        <v>0</v>
      </c>
      <c r="Q43" s="35">
        <f t="shared" si="9"/>
        <v>0.16575999999622582</v>
      </c>
      <c r="R43" s="72">
        <v>1103613</v>
      </c>
      <c r="S43" s="72">
        <f t="shared" si="10"/>
        <v>1001033.4657600001</v>
      </c>
    </row>
    <row r="44" spans="1:20">
      <c r="A44" s="118"/>
      <c r="B44" s="118"/>
      <c r="C44" s="118"/>
      <c r="D44" s="118"/>
      <c r="E44" s="118">
        <v>361</v>
      </c>
      <c r="F44" s="117" t="s">
        <v>63</v>
      </c>
      <c r="G44" s="37">
        <v>1064315</v>
      </c>
      <c r="H44" s="37">
        <v>63281.7</v>
      </c>
      <c r="I44" s="37">
        <v>63281.7</v>
      </c>
      <c r="J44" s="75">
        <f>M44</f>
        <v>63281.534240000001</v>
      </c>
      <c r="K44" s="35">
        <f>'1.08'!M44</f>
        <v>27701.504280000001</v>
      </c>
      <c r="L44" s="35">
        <v>35580.02996</v>
      </c>
      <c r="M44" s="35">
        <f t="shared" ref="M44" si="25">K44+L44</f>
        <v>63281.534240000001</v>
      </c>
      <c r="N44" s="35">
        <f t="shared" ref="N44" si="26">I44-M44</f>
        <v>0.16575999999622582</v>
      </c>
      <c r="O44" s="70">
        <f t="shared" si="4"/>
        <v>99.999738060134291</v>
      </c>
      <c r="P44" s="71">
        <f t="shared" si="8"/>
        <v>0</v>
      </c>
      <c r="Q44" s="35">
        <f t="shared" si="9"/>
        <v>0.16575999999622582</v>
      </c>
      <c r="R44" s="72">
        <v>1103614</v>
      </c>
      <c r="S44" s="72">
        <f t="shared" si="10"/>
        <v>1001033.4657600001</v>
      </c>
    </row>
    <row r="45" spans="1:20" s="73" customFormat="1">
      <c r="A45" s="8"/>
      <c r="B45" s="8"/>
      <c r="C45" s="8" t="s">
        <v>21</v>
      </c>
      <c r="D45" s="10"/>
      <c r="E45" s="10"/>
      <c r="F45" s="137" t="s">
        <v>108</v>
      </c>
      <c r="G45" s="81">
        <f>G46</f>
        <v>1483726</v>
      </c>
      <c r="H45" s="81">
        <f t="shared" ref="H45:N46" si="27">H46</f>
        <v>1026990</v>
      </c>
      <c r="I45" s="81">
        <f t="shared" si="27"/>
        <v>1007990</v>
      </c>
      <c r="J45" s="81">
        <f t="shared" si="27"/>
        <v>1007990</v>
      </c>
      <c r="K45" s="29">
        <f>'1.02.'!M44</f>
        <v>125000</v>
      </c>
      <c r="L45" s="81">
        <f t="shared" si="27"/>
        <v>55102</v>
      </c>
      <c r="M45" s="123">
        <f t="shared" si="27"/>
        <v>1007990</v>
      </c>
      <c r="N45" s="123">
        <f t="shared" si="27"/>
        <v>0</v>
      </c>
      <c r="O45" s="68">
        <f t="shared" si="4"/>
        <v>100</v>
      </c>
      <c r="P45" s="71">
        <f t="shared" si="8"/>
        <v>0</v>
      </c>
      <c r="Q45" s="35">
        <f t="shared" si="9"/>
        <v>19000</v>
      </c>
      <c r="R45" s="72">
        <v>1103615</v>
      </c>
      <c r="S45" s="72">
        <f t="shared" si="10"/>
        <v>475736</v>
      </c>
      <c r="T45" s="62">
        <f t="shared" si="11"/>
        <v>475736</v>
      </c>
    </row>
    <row r="46" spans="1:20" s="73" customFormat="1">
      <c r="A46" s="8"/>
      <c r="B46" s="8"/>
      <c r="C46" s="8"/>
      <c r="D46" s="43" t="s">
        <v>7</v>
      </c>
      <c r="E46" s="44"/>
      <c r="F46" s="135" t="s">
        <v>85</v>
      </c>
      <c r="G46" s="82">
        <f>G47</f>
        <v>1483726</v>
      </c>
      <c r="H46" s="82">
        <f t="shared" si="27"/>
        <v>1026990</v>
      </c>
      <c r="I46" s="82">
        <f t="shared" si="27"/>
        <v>1007990</v>
      </c>
      <c r="J46" s="82">
        <f t="shared" si="27"/>
        <v>1007990</v>
      </c>
      <c r="K46" s="29">
        <f>'1.02.'!M45</f>
        <v>125000</v>
      </c>
      <c r="L46" s="82">
        <f t="shared" si="27"/>
        <v>55102</v>
      </c>
      <c r="M46" s="123">
        <f t="shared" si="27"/>
        <v>1007990</v>
      </c>
      <c r="N46" s="123">
        <f t="shared" si="27"/>
        <v>0</v>
      </c>
      <c r="O46" s="70">
        <f t="shared" si="4"/>
        <v>100</v>
      </c>
      <c r="P46" s="71">
        <f t="shared" si="8"/>
        <v>0</v>
      </c>
      <c r="Q46" s="35">
        <f t="shared" si="9"/>
        <v>19000</v>
      </c>
      <c r="R46" s="72">
        <v>1103616</v>
      </c>
      <c r="S46" s="72">
        <f t="shared" si="10"/>
        <v>475736</v>
      </c>
      <c r="T46" s="62"/>
    </row>
    <row r="47" spans="1:20" s="73" customFormat="1" ht="25.5">
      <c r="A47" s="8"/>
      <c r="B47" s="8"/>
      <c r="C47" s="8"/>
      <c r="D47" s="45"/>
      <c r="E47" s="46">
        <v>339</v>
      </c>
      <c r="F47" s="138" t="s">
        <v>109</v>
      </c>
      <c r="G47" s="84">
        <f>SUM(G48:G55)</f>
        <v>1483726</v>
      </c>
      <c r="H47" s="84">
        <f>SUM(H48:H55)</f>
        <v>1026990</v>
      </c>
      <c r="I47" s="84">
        <f>SUM(I48:I55)</f>
        <v>1007990</v>
      </c>
      <c r="J47" s="108">
        <f t="shared" ref="J47" si="28">SUM(J48:J55)</f>
        <v>1007990</v>
      </c>
      <c r="K47" s="35">
        <f>'1.02.'!M46</f>
        <v>125000</v>
      </c>
      <c r="L47" s="84">
        <f>SUM(L48:L55)</f>
        <v>55102</v>
      </c>
      <c r="M47" s="123">
        <f>SUM(M48:M55)</f>
        <v>1007990</v>
      </c>
      <c r="N47" s="123">
        <f>SUM(N48:N55)</f>
        <v>0</v>
      </c>
      <c r="O47" s="70">
        <f t="shared" si="4"/>
        <v>100</v>
      </c>
      <c r="P47" s="71">
        <f t="shared" si="8"/>
        <v>0</v>
      </c>
      <c r="Q47" s="35">
        <f t="shared" si="9"/>
        <v>19000</v>
      </c>
      <c r="R47" s="72">
        <v>1103617</v>
      </c>
      <c r="S47" s="72">
        <f t="shared" si="10"/>
        <v>475736</v>
      </c>
      <c r="T47" s="62"/>
    </row>
    <row r="48" spans="1:20" s="73" customFormat="1">
      <c r="A48" s="8"/>
      <c r="B48" s="8"/>
      <c r="C48" s="8"/>
      <c r="D48" s="45"/>
      <c r="E48" s="46"/>
      <c r="F48" s="47" t="s">
        <v>46</v>
      </c>
      <c r="G48" s="83">
        <f>G58+G67+G76+G85+G94+G103</f>
        <v>547812</v>
      </c>
      <c r="H48" s="83">
        <f t="shared" ref="H48:N48" si="29">H58+H67+H76+H85+H94+H103</f>
        <v>357390</v>
      </c>
      <c r="I48" s="83">
        <f t="shared" si="29"/>
        <v>357390</v>
      </c>
      <c r="J48" s="83">
        <f t="shared" si="29"/>
        <v>357390</v>
      </c>
      <c r="K48" s="83">
        <f t="shared" si="29"/>
        <v>338542</v>
      </c>
      <c r="L48" s="83">
        <f t="shared" si="29"/>
        <v>18848</v>
      </c>
      <c r="M48" s="83">
        <f t="shared" si="29"/>
        <v>357390</v>
      </c>
      <c r="N48" s="83">
        <f t="shared" si="29"/>
        <v>0</v>
      </c>
      <c r="O48" s="70">
        <f t="shared" si="4"/>
        <v>100</v>
      </c>
      <c r="P48" s="71">
        <f t="shared" si="8"/>
        <v>0</v>
      </c>
      <c r="Q48" s="35">
        <f t="shared" si="9"/>
        <v>0</v>
      </c>
      <c r="R48" s="72">
        <v>1103618</v>
      </c>
      <c r="S48" s="72">
        <f t="shared" si="10"/>
        <v>190422</v>
      </c>
      <c r="T48" s="62"/>
    </row>
    <row r="49" spans="1:20" s="73" customFormat="1">
      <c r="A49" s="8"/>
      <c r="B49" s="8"/>
      <c r="C49" s="8"/>
      <c r="D49" s="45"/>
      <c r="E49" s="46"/>
      <c r="F49" s="47" t="s">
        <v>8</v>
      </c>
      <c r="G49" s="83">
        <f t="shared" ref="G49:N55" si="30">G59+G68+G77+G86+G95+G104</f>
        <v>60337</v>
      </c>
      <c r="H49" s="83">
        <f t="shared" si="30"/>
        <v>55738</v>
      </c>
      <c r="I49" s="83">
        <f t="shared" si="30"/>
        <v>55738</v>
      </c>
      <c r="J49" s="83">
        <f t="shared" si="30"/>
        <v>55738</v>
      </c>
      <c r="K49" s="83">
        <f t="shared" si="30"/>
        <v>51763</v>
      </c>
      <c r="L49" s="83">
        <f t="shared" si="30"/>
        <v>3975</v>
      </c>
      <c r="M49" s="83">
        <f t="shared" si="30"/>
        <v>55738</v>
      </c>
      <c r="N49" s="83">
        <f t="shared" si="30"/>
        <v>0</v>
      </c>
      <c r="O49" s="70">
        <f t="shared" si="4"/>
        <v>100</v>
      </c>
      <c r="P49" s="71">
        <f t="shared" si="8"/>
        <v>0</v>
      </c>
      <c r="Q49" s="35">
        <f t="shared" si="9"/>
        <v>0</v>
      </c>
      <c r="R49" s="72">
        <v>1103619</v>
      </c>
      <c r="S49" s="72">
        <f t="shared" si="10"/>
        <v>4599</v>
      </c>
      <c r="T49" s="62"/>
    </row>
    <row r="50" spans="1:20" s="73" customFormat="1">
      <c r="A50" s="8"/>
      <c r="B50" s="8"/>
      <c r="C50" s="8"/>
      <c r="D50" s="45"/>
      <c r="E50" s="46"/>
      <c r="F50" s="49" t="s">
        <v>9</v>
      </c>
      <c r="G50" s="83">
        <f t="shared" si="30"/>
        <v>142501</v>
      </c>
      <c r="H50" s="83">
        <f t="shared" si="30"/>
        <v>86281</v>
      </c>
      <c r="I50" s="83">
        <f t="shared" si="30"/>
        <v>67281</v>
      </c>
      <c r="J50" s="83">
        <f t="shared" si="30"/>
        <v>67281</v>
      </c>
      <c r="K50" s="83">
        <f t="shared" si="30"/>
        <v>61623</v>
      </c>
      <c r="L50" s="83">
        <f t="shared" si="30"/>
        <v>5658</v>
      </c>
      <c r="M50" s="83">
        <f t="shared" si="30"/>
        <v>67281</v>
      </c>
      <c r="N50" s="83">
        <f t="shared" si="30"/>
        <v>0</v>
      </c>
      <c r="O50" s="70">
        <f t="shared" si="4"/>
        <v>100</v>
      </c>
      <c r="P50" s="71">
        <f t="shared" si="8"/>
        <v>0</v>
      </c>
      <c r="Q50" s="35">
        <f t="shared" si="9"/>
        <v>19000</v>
      </c>
      <c r="R50" s="72">
        <v>1103620</v>
      </c>
      <c r="S50" s="72">
        <f t="shared" si="10"/>
        <v>75220</v>
      </c>
      <c r="T50" s="62"/>
    </row>
    <row r="51" spans="1:20" s="73" customFormat="1">
      <c r="A51" s="8"/>
      <c r="B51" s="8"/>
      <c r="C51" s="8"/>
      <c r="D51" s="45"/>
      <c r="E51" s="46"/>
      <c r="F51" s="49" t="s">
        <v>10</v>
      </c>
      <c r="G51" s="83">
        <f t="shared" si="30"/>
        <v>48916</v>
      </c>
      <c r="H51" s="83">
        <f t="shared" si="30"/>
        <v>27498</v>
      </c>
      <c r="I51" s="83">
        <f t="shared" si="30"/>
        <v>27498</v>
      </c>
      <c r="J51" s="83">
        <f t="shared" si="30"/>
        <v>27498</v>
      </c>
      <c r="K51" s="83">
        <f t="shared" si="30"/>
        <v>23750</v>
      </c>
      <c r="L51" s="83">
        <f t="shared" si="30"/>
        <v>3748</v>
      </c>
      <c r="M51" s="83">
        <f t="shared" si="30"/>
        <v>27498</v>
      </c>
      <c r="N51" s="83">
        <f t="shared" si="30"/>
        <v>0</v>
      </c>
      <c r="O51" s="70">
        <f t="shared" si="4"/>
        <v>100</v>
      </c>
      <c r="P51" s="71">
        <f t="shared" si="8"/>
        <v>0</v>
      </c>
      <c r="Q51" s="35">
        <f t="shared" si="9"/>
        <v>0</v>
      </c>
      <c r="R51" s="72">
        <v>1103621</v>
      </c>
      <c r="S51" s="72">
        <f t="shared" si="10"/>
        <v>21418</v>
      </c>
      <c r="T51" s="62"/>
    </row>
    <row r="52" spans="1:20" s="73" customFormat="1">
      <c r="A52" s="8"/>
      <c r="B52" s="8"/>
      <c r="C52" s="8"/>
      <c r="D52" s="45"/>
      <c r="E52" s="46"/>
      <c r="F52" s="49" t="s">
        <v>47</v>
      </c>
      <c r="G52" s="83">
        <f t="shared" si="30"/>
        <v>85380</v>
      </c>
      <c r="H52" s="83">
        <f t="shared" si="30"/>
        <v>50926</v>
      </c>
      <c r="I52" s="83">
        <f t="shared" si="30"/>
        <v>50926</v>
      </c>
      <c r="J52" s="83">
        <f t="shared" si="30"/>
        <v>50926</v>
      </c>
      <c r="K52" s="83">
        <f t="shared" si="30"/>
        <v>45316</v>
      </c>
      <c r="L52" s="83">
        <f t="shared" si="30"/>
        <v>5610</v>
      </c>
      <c r="M52" s="83">
        <f t="shared" si="30"/>
        <v>50926</v>
      </c>
      <c r="N52" s="83">
        <f t="shared" si="30"/>
        <v>0</v>
      </c>
      <c r="O52" s="70">
        <f t="shared" si="4"/>
        <v>100</v>
      </c>
      <c r="P52" s="71">
        <f t="shared" si="8"/>
        <v>0</v>
      </c>
      <c r="Q52" s="35">
        <f t="shared" si="9"/>
        <v>0</v>
      </c>
      <c r="R52" s="72">
        <v>1103622</v>
      </c>
      <c r="S52" s="72">
        <f t="shared" si="10"/>
        <v>34454</v>
      </c>
      <c r="T52" s="62"/>
    </row>
    <row r="53" spans="1:20" s="73" customFormat="1">
      <c r="A53" s="8"/>
      <c r="B53" s="8"/>
      <c r="C53" s="8"/>
      <c r="D53" s="45"/>
      <c r="E53" s="46"/>
      <c r="F53" s="49" t="s">
        <v>48</v>
      </c>
      <c r="G53" s="83">
        <f t="shared" si="30"/>
        <v>145294</v>
      </c>
      <c r="H53" s="83">
        <f t="shared" si="30"/>
        <v>67134</v>
      </c>
      <c r="I53" s="83">
        <f t="shared" si="30"/>
        <v>67134</v>
      </c>
      <c r="J53" s="83">
        <f t="shared" si="30"/>
        <v>67134</v>
      </c>
      <c r="K53" s="83">
        <f t="shared" si="30"/>
        <v>55845</v>
      </c>
      <c r="L53" s="83">
        <f t="shared" si="30"/>
        <v>11289</v>
      </c>
      <c r="M53" s="83">
        <f t="shared" si="30"/>
        <v>67134</v>
      </c>
      <c r="N53" s="83">
        <f t="shared" si="30"/>
        <v>0</v>
      </c>
      <c r="O53" s="70">
        <f t="shared" si="4"/>
        <v>100</v>
      </c>
      <c r="P53" s="71">
        <f t="shared" si="8"/>
        <v>0</v>
      </c>
      <c r="Q53" s="35">
        <f t="shared" si="9"/>
        <v>0</v>
      </c>
      <c r="R53" s="72">
        <v>1103623</v>
      </c>
      <c r="S53" s="72">
        <f t="shared" si="10"/>
        <v>78160</v>
      </c>
      <c r="T53" s="62"/>
    </row>
    <row r="54" spans="1:20" s="73" customFormat="1">
      <c r="A54" s="8"/>
      <c r="B54" s="8"/>
      <c r="C54" s="8"/>
      <c r="D54" s="45"/>
      <c r="E54" s="46"/>
      <c r="F54" s="49" t="s">
        <v>12</v>
      </c>
      <c r="G54" s="83">
        <f t="shared" si="30"/>
        <v>379340</v>
      </c>
      <c r="H54" s="83">
        <f t="shared" si="30"/>
        <v>342859</v>
      </c>
      <c r="I54" s="83">
        <f t="shared" si="30"/>
        <v>342859</v>
      </c>
      <c r="J54" s="83">
        <f t="shared" si="30"/>
        <v>342859</v>
      </c>
      <c r="K54" s="83">
        <f t="shared" si="30"/>
        <v>339696</v>
      </c>
      <c r="L54" s="83">
        <f t="shared" si="30"/>
        <v>3163</v>
      </c>
      <c r="M54" s="83">
        <f t="shared" si="30"/>
        <v>342859</v>
      </c>
      <c r="N54" s="83">
        <f t="shared" si="30"/>
        <v>0</v>
      </c>
      <c r="O54" s="70">
        <f t="shared" si="4"/>
        <v>100</v>
      </c>
      <c r="P54" s="71">
        <f t="shared" si="8"/>
        <v>0</v>
      </c>
      <c r="Q54" s="35">
        <f t="shared" si="9"/>
        <v>0</v>
      </c>
      <c r="R54" s="72">
        <v>1103624</v>
      </c>
      <c r="S54" s="72">
        <f t="shared" si="10"/>
        <v>36481</v>
      </c>
      <c r="T54" s="62"/>
    </row>
    <row r="55" spans="1:20" s="73" customFormat="1">
      <c r="A55" s="8"/>
      <c r="B55" s="8"/>
      <c r="C55" s="8"/>
      <c r="D55" s="45"/>
      <c r="E55" s="46"/>
      <c r="F55" s="49" t="s">
        <v>11</v>
      </c>
      <c r="G55" s="83">
        <f t="shared" si="30"/>
        <v>74146</v>
      </c>
      <c r="H55" s="83">
        <f t="shared" si="30"/>
        <v>39164</v>
      </c>
      <c r="I55" s="83">
        <f t="shared" si="30"/>
        <v>39164</v>
      </c>
      <c r="J55" s="83">
        <f t="shared" si="30"/>
        <v>39164</v>
      </c>
      <c r="K55" s="83">
        <f t="shared" si="30"/>
        <v>36353</v>
      </c>
      <c r="L55" s="83">
        <f t="shared" si="30"/>
        <v>2811</v>
      </c>
      <c r="M55" s="83">
        <f t="shared" si="30"/>
        <v>39164</v>
      </c>
      <c r="N55" s="83">
        <f t="shared" si="30"/>
        <v>0</v>
      </c>
      <c r="O55" s="70">
        <f t="shared" si="4"/>
        <v>100</v>
      </c>
      <c r="P55" s="71">
        <f t="shared" si="8"/>
        <v>0</v>
      </c>
      <c r="Q55" s="35">
        <f t="shared" si="9"/>
        <v>0</v>
      </c>
      <c r="R55" s="72">
        <v>1103625</v>
      </c>
      <c r="S55" s="72">
        <f t="shared" si="10"/>
        <v>34982</v>
      </c>
      <c r="T55" s="62"/>
    </row>
    <row r="56" spans="1:20" s="73" customFormat="1">
      <c r="A56" s="8"/>
      <c r="B56" s="8"/>
      <c r="C56" s="8"/>
      <c r="D56" s="45"/>
      <c r="E56" s="46"/>
      <c r="F56" s="50" t="s">
        <v>110</v>
      </c>
      <c r="G56" s="82"/>
      <c r="H56" s="82"/>
      <c r="I56" s="82"/>
      <c r="J56" s="75" t="e">
        <f t="shared" ref="J56:J74" si="31">M56</f>
        <v>#REF!</v>
      </c>
      <c r="K56" s="35" t="e">
        <f>'1.02.'!M55</f>
        <v>#REF!</v>
      </c>
      <c r="L56" s="35"/>
      <c r="M56" s="93" t="e">
        <f t="shared" ref="M56:M74" si="32">K56+L56</f>
        <v>#REF!</v>
      </c>
      <c r="N56" s="35" t="e">
        <f t="shared" ref="N56:N65" si="33">I56-M56</f>
        <v>#REF!</v>
      </c>
      <c r="O56" s="70" t="e">
        <f t="shared" si="4"/>
        <v>#REF!</v>
      </c>
      <c r="P56" s="71" t="e">
        <f t="shared" si="8"/>
        <v>#REF!</v>
      </c>
      <c r="Q56" s="35" t="e">
        <f t="shared" si="9"/>
        <v>#REF!</v>
      </c>
      <c r="R56" s="72">
        <v>1103626</v>
      </c>
      <c r="S56" s="72" t="e">
        <f t="shared" si="10"/>
        <v>#REF!</v>
      </c>
      <c r="T56" s="62"/>
    </row>
    <row r="57" spans="1:20" s="73" customFormat="1">
      <c r="A57" s="8"/>
      <c r="B57" s="8"/>
      <c r="C57" s="8"/>
      <c r="D57" s="44"/>
      <c r="E57" s="52"/>
      <c r="F57" s="53" t="s">
        <v>111</v>
      </c>
      <c r="G57" s="84">
        <f>SUM(G58:G65)</f>
        <v>615150</v>
      </c>
      <c r="H57" s="84">
        <f t="shared" ref="H57:N57" si="34">SUM(H58:H65)</f>
        <v>342320</v>
      </c>
      <c r="I57" s="84">
        <f t="shared" si="34"/>
        <v>342320</v>
      </c>
      <c r="J57" s="108">
        <f t="shared" si="34"/>
        <v>342320</v>
      </c>
      <c r="K57" s="108">
        <f t="shared" si="34"/>
        <v>302625</v>
      </c>
      <c r="L57" s="108">
        <f t="shared" si="34"/>
        <v>39695</v>
      </c>
      <c r="M57" s="123">
        <f t="shared" si="34"/>
        <v>342320</v>
      </c>
      <c r="N57" s="123">
        <f t="shared" si="34"/>
        <v>0</v>
      </c>
      <c r="O57" s="70">
        <f t="shared" si="4"/>
        <v>100</v>
      </c>
      <c r="P57" s="71">
        <f t="shared" si="8"/>
        <v>0</v>
      </c>
      <c r="Q57" s="35">
        <f t="shared" si="9"/>
        <v>0</v>
      </c>
      <c r="R57" s="72">
        <v>1103627</v>
      </c>
      <c r="S57" s="72">
        <f t="shared" si="10"/>
        <v>272830</v>
      </c>
      <c r="T57" s="62"/>
    </row>
    <row r="58" spans="1:20" s="73" customFormat="1">
      <c r="A58" s="8"/>
      <c r="B58" s="8"/>
      <c r="C58" s="8"/>
      <c r="D58" s="45"/>
      <c r="E58" s="45"/>
      <c r="F58" s="47" t="s">
        <v>46</v>
      </c>
      <c r="G58" s="83">
        <v>233757</v>
      </c>
      <c r="H58" s="83">
        <f>14105+15933+16957+18744+19587+20233+15353</f>
        <v>120912</v>
      </c>
      <c r="I58" s="83">
        <f>H58</f>
        <v>120912</v>
      </c>
      <c r="J58" s="75">
        <f>M58</f>
        <v>120912</v>
      </c>
      <c r="K58" s="35">
        <f>'1.08'!M58</f>
        <v>105559</v>
      </c>
      <c r="L58" s="35">
        <v>15353</v>
      </c>
      <c r="M58" s="93">
        <f t="shared" si="32"/>
        <v>120912</v>
      </c>
      <c r="N58" s="35">
        <f t="shared" si="33"/>
        <v>0</v>
      </c>
      <c r="O58" s="70">
        <f t="shared" si="4"/>
        <v>100</v>
      </c>
      <c r="P58" s="71">
        <f t="shared" si="8"/>
        <v>0</v>
      </c>
      <c r="Q58" s="35">
        <f t="shared" si="9"/>
        <v>0</v>
      </c>
      <c r="R58" s="72">
        <v>1103628</v>
      </c>
      <c r="S58" s="72">
        <f t="shared" si="10"/>
        <v>112845</v>
      </c>
      <c r="T58" s="62"/>
    </row>
    <row r="59" spans="1:20" s="73" customFormat="1">
      <c r="A59" s="8"/>
      <c r="B59" s="8"/>
      <c r="C59" s="8"/>
      <c r="D59" s="45"/>
      <c r="E59" s="45"/>
      <c r="F59" s="47" t="s">
        <v>8</v>
      </c>
      <c r="G59" s="83">
        <v>33218</v>
      </c>
      <c r="H59" s="83">
        <f>3154+3907+4339+5408+6049+6361+3617</f>
        <v>32835</v>
      </c>
      <c r="I59" s="83">
        <f t="shared" ref="I59:I65" si="35">H59</f>
        <v>32835</v>
      </c>
      <c r="J59" s="75">
        <f t="shared" si="31"/>
        <v>32835</v>
      </c>
      <c r="K59" s="35">
        <f>'1.08'!M59</f>
        <v>29218</v>
      </c>
      <c r="L59" s="35">
        <v>3617</v>
      </c>
      <c r="M59" s="93">
        <f t="shared" si="32"/>
        <v>32835</v>
      </c>
      <c r="N59" s="35">
        <f t="shared" si="33"/>
        <v>0</v>
      </c>
      <c r="O59" s="70">
        <f t="shared" si="4"/>
        <v>100</v>
      </c>
      <c r="P59" s="71">
        <f t="shared" si="8"/>
        <v>0</v>
      </c>
      <c r="Q59" s="35">
        <f t="shared" si="9"/>
        <v>0</v>
      </c>
      <c r="R59" s="72">
        <v>1103629</v>
      </c>
      <c r="S59" s="72">
        <f t="shared" si="10"/>
        <v>383</v>
      </c>
      <c r="T59" s="62"/>
    </row>
    <row r="60" spans="1:20" s="73" customFormat="1">
      <c r="A60" s="8"/>
      <c r="B60" s="8"/>
      <c r="C60" s="8"/>
      <c r="D60" s="45"/>
      <c r="E60" s="45"/>
      <c r="F60" s="49" t="s">
        <v>9</v>
      </c>
      <c r="G60" s="83">
        <v>91657</v>
      </c>
      <c r="H60" s="83">
        <f>5815+6877+7129+7351+7978+8120+5145</f>
        <v>48415</v>
      </c>
      <c r="I60" s="83">
        <f t="shared" si="35"/>
        <v>48415</v>
      </c>
      <c r="J60" s="75">
        <f t="shared" si="31"/>
        <v>48415</v>
      </c>
      <c r="K60" s="35">
        <f>'1.08'!M60</f>
        <v>43270</v>
      </c>
      <c r="L60" s="35">
        <v>5145</v>
      </c>
      <c r="M60" s="93">
        <f t="shared" si="32"/>
        <v>48415</v>
      </c>
      <c r="N60" s="35">
        <f t="shared" si="33"/>
        <v>0</v>
      </c>
      <c r="O60" s="70">
        <f t="shared" si="4"/>
        <v>100</v>
      </c>
      <c r="P60" s="71">
        <f t="shared" si="8"/>
        <v>0</v>
      </c>
      <c r="Q60" s="35">
        <f t="shared" si="9"/>
        <v>0</v>
      </c>
      <c r="R60" s="72">
        <v>1103630</v>
      </c>
      <c r="S60" s="72">
        <f t="shared" si="10"/>
        <v>43242</v>
      </c>
      <c r="T60" s="62"/>
    </row>
    <row r="61" spans="1:20" s="73" customFormat="1">
      <c r="A61" s="8"/>
      <c r="B61" s="8"/>
      <c r="C61" s="8"/>
      <c r="D61" s="45"/>
      <c r="E61" s="45"/>
      <c r="F61" s="49" t="s">
        <v>10</v>
      </c>
      <c r="G61" s="83">
        <v>25221</v>
      </c>
      <c r="H61" s="83">
        <f>1864+2063+2209+2618+2782+3171+1916</f>
        <v>16623</v>
      </c>
      <c r="I61" s="83">
        <f t="shared" si="35"/>
        <v>16623</v>
      </c>
      <c r="J61" s="75">
        <f t="shared" si="31"/>
        <v>16623</v>
      </c>
      <c r="K61" s="35">
        <f>'1.08'!M61</f>
        <v>14707</v>
      </c>
      <c r="L61" s="35">
        <v>1916</v>
      </c>
      <c r="M61" s="93">
        <f t="shared" si="32"/>
        <v>16623</v>
      </c>
      <c r="N61" s="35">
        <f t="shared" si="33"/>
        <v>0</v>
      </c>
      <c r="O61" s="70">
        <f t="shared" si="4"/>
        <v>100</v>
      </c>
      <c r="P61" s="71">
        <f t="shared" si="8"/>
        <v>0</v>
      </c>
      <c r="Q61" s="35">
        <f t="shared" si="9"/>
        <v>0</v>
      </c>
      <c r="R61" s="72">
        <v>1103631</v>
      </c>
      <c r="S61" s="72">
        <f t="shared" si="10"/>
        <v>8598</v>
      </c>
      <c r="T61" s="62"/>
    </row>
    <row r="62" spans="1:20" s="73" customFormat="1">
      <c r="A62" s="8"/>
      <c r="B62" s="8"/>
      <c r="C62" s="8"/>
      <c r="D62" s="45"/>
      <c r="E62" s="45"/>
      <c r="F62" s="49" t="s">
        <v>47</v>
      </c>
      <c r="G62" s="83">
        <v>55364</v>
      </c>
      <c r="H62" s="83">
        <f>4910+5242+5520+5520+5820+5854+4006</f>
        <v>36872</v>
      </c>
      <c r="I62" s="83">
        <f t="shared" si="35"/>
        <v>36872</v>
      </c>
      <c r="J62" s="75">
        <f t="shared" si="31"/>
        <v>36872</v>
      </c>
      <c r="K62" s="35">
        <f>'1.08'!M62</f>
        <v>32866</v>
      </c>
      <c r="L62" s="35">
        <v>4006</v>
      </c>
      <c r="M62" s="93">
        <f t="shared" si="32"/>
        <v>36872</v>
      </c>
      <c r="N62" s="35">
        <f t="shared" si="33"/>
        <v>0</v>
      </c>
      <c r="O62" s="70">
        <f t="shared" si="4"/>
        <v>100</v>
      </c>
      <c r="P62" s="71">
        <f t="shared" si="8"/>
        <v>0</v>
      </c>
      <c r="Q62" s="35">
        <f t="shared" si="9"/>
        <v>0</v>
      </c>
      <c r="R62" s="72">
        <v>1103632</v>
      </c>
      <c r="S62" s="72">
        <f t="shared" si="10"/>
        <v>18492</v>
      </c>
      <c r="T62" s="62"/>
    </row>
    <row r="63" spans="1:20" s="73" customFormat="1">
      <c r="A63" s="8"/>
      <c r="B63" s="8"/>
      <c r="C63" s="8"/>
      <c r="D63" s="45"/>
      <c r="E63" s="45"/>
      <c r="F63" s="49" t="s">
        <v>48</v>
      </c>
      <c r="G63" s="83">
        <v>96579</v>
      </c>
      <c r="H63" s="83">
        <f>5824+6008+6007+7486+7934+7870+5622</f>
        <v>46751</v>
      </c>
      <c r="I63" s="83">
        <f t="shared" si="35"/>
        <v>46751</v>
      </c>
      <c r="J63" s="75">
        <f t="shared" si="31"/>
        <v>46751</v>
      </c>
      <c r="K63" s="35">
        <f>'1.08'!M63</f>
        <v>41129</v>
      </c>
      <c r="L63" s="35">
        <v>5622</v>
      </c>
      <c r="M63" s="93">
        <f t="shared" si="32"/>
        <v>46751</v>
      </c>
      <c r="N63" s="35">
        <f t="shared" si="33"/>
        <v>0</v>
      </c>
      <c r="O63" s="70">
        <f t="shared" si="4"/>
        <v>100</v>
      </c>
      <c r="P63" s="71">
        <f t="shared" si="8"/>
        <v>0</v>
      </c>
      <c r="Q63" s="35">
        <f t="shared" si="9"/>
        <v>0</v>
      </c>
      <c r="R63" s="72">
        <v>1103633</v>
      </c>
      <c r="S63" s="72">
        <f t="shared" si="10"/>
        <v>49828</v>
      </c>
      <c r="T63" s="62"/>
    </row>
    <row r="64" spans="1:20" s="73" customFormat="1">
      <c r="A64" s="8"/>
      <c r="B64" s="8"/>
      <c r="C64" s="8"/>
      <c r="D64" s="45"/>
      <c r="E64" s="45"/>
      <c r="F64" s="49" t="s">
        <v>12</v>
      </c>
      <c r="G64" s="83">
        <v>33833</v>
      </c>
      <c r="H64" s="83">
        <f>2019+2264+2458+2800+3194+3796+1472</f>
        <v>18003</v>
      </c>
      <c r="I64" s="83">
        <f t="shared" si="35"/>
        <v>18003</v>
      </c>
      <c r="J64" s="75">
        <f t="shared" si="31"/>
        <v>18003</v>
      </c>
      <c r="K64" s="35">
        <f>'1.08'!M64</f>
        <v>16531</v>
      </c>
      <c r="L64" s="35">
        <v>1472</v>
      </c>
      <c r="M64" s="93">
        <f t="shared" si="32"/>
        <v>18003</v>
      </c>
      <c r="N64" s="35">
        <f t="shared" si="33"/>
        <v>0</v>
      </c>
      <c r="O64" s="70">
        <f t="shared" si="4"/>
        <v>100</v>
      </c>
      <c r="P64" s="71">
        <f t="shared" si="8"/>
        <v>0</v>
      </c>
      <c r="Q64" s="35">
        <f t="shared" si="9"/>
        <v>0</v>
      </c>
      <c r="R64" s="72">
        <v>1103634</v>
      </c>
      <c r="S64" s="72">
        <f t="shared" si="10"/>
        <v>15830</v>
      </c>
      <c r="T64" s="62"/>
    </row>
    <row r="65" spans="1:20" s="73" customFormat="1">
      <c r="A65" s="8"/>
      <c r="B65" s="8"/>
      <c r="C65" s="8"/>
      <c r="D65" s="45"/>
      <c r="E65" s="45"/>
      <c r="F65" s="49" t="s">
        <v>11</v>
      </c>
      <c r="G65" s="83">
        <v>45521</v>
      </c>
      <c r="H65" s="83">
        <f>2410+2633+2674+3800+3887+3941+2564</f>
        <v>21909</v>
      </c>
      <c r="I65" s="83">
        <f t="shared" si="35"/>
        <v>21909</v>
      </c>
      <c r="J65" s="75">
        <f t="shared" si="31"/>
        <v>21909</v>
      </c>
      <c r="K65" s="35">
        <f>'1.08'!M65</f>
        <v>19345</v>
      </c>
      <c r="L65" s="35">
        <v>2564</v>
      </c>
      <c r="M65" s="93">
        <f t="shared" si="32"/>
        <v>21909</v>
      </c>
      <c r="N65" s="35">
        <f t="shared" si="33"/>
        <v>0</v>
      </c>
      <c r="O65" s="70">
        <f t="shared" si="4"/>
        <v>100</v>
      </c>
      <c r="P65" s="71">
        <f t="shared" si="8"/>
        <v>0</v>
      </c>
      <c r="Q65" s="35">
        <f t="shared" si="9"/>
        <v>0</v>
      </c>
      <c r="R65" s="72">
        <v>1103635</v>
      </c>
      <c r="S65" s="72">
        <f t="shared" si="10"/>
        <v>23612</v>
      </c>
      <c r="T65" s="62"/>
    </row>
    <row r="66" spans="1:20" s="73" customFormat="1" ht="25.5">
      <c r="A66" s="8"/>
      <c r="B66" s="8"/>
      <c r="C66" s="8"/>
      <c r="D66" s="44"/>
      <c r="E66" s="52"/>
      <c r="F66" s="53" t="s">
        <v>112</v>
      </c>
      <c r="G66" s="84">
        <f>SUM(G67:G74)</f>
        <v>111098</v>
      </c>
      <c r="H66" s="84">
        <f t="shared" ref="H66:N66" si="36">SUM(H67:H74)</f>
        <v>33791</v>
      </c>
      <c r="I66" s="84">
        <f t="shared" si="36"/>
        <v>33791</v>
      </c>
      <c r="J66" s="108">
        <f t="shared" si="36"/>
        <v>33791</v>
      </c>
      <c r="K66" s="108">
        <f t="shared" si="36"/>
        <v>29753</v>
      </c>
      <c r="L66" s="108">
        <f t="shared" si="36"/>
        <v>4038</v>
      </c>
      <c r="M66" s="123">
        <f t="shared" si="36"/>
        <v>33791</v>
      </c>
      <c r="N66" s="123">
        <f t="shared" si="36"/>
        <v>0</v>
      </c>
      <c r="O66" s="70">
        <f t="shared" si="4"/>
        <v>100</v>
      </c>
      <c r="P66" s="71">
        <f t="shared" si="8"/>
        <v>0</v>
      </c>
      <c r="Q66" s="35">
        <f t="shared" si="9"/>
        <v>0</v>
      </c>
      <c r="R66" s="72">
        <v>1103636</v>
      </c>
      <c r="S66" s="72">
        <f t="shared" si="10"/>
        <v>77307</v>
      </c>
      <c r="T66" s="62"/>
    </row>
    <row r="67" spans="1:20" s="73" customFormat="1">
      <c r="A67" s="8"/>
      <c r="B67" s="8"/>
      <c r="C67" s="8"/>
      <c r="D67" s="45"/>
      <c r="E67" s="45"/>
      <c r="F67" s="47" t="s">
        <v>46</v>
      </c>
      <c r="G67" s="83">
        <v>38884</v>
      </c>
      <c r="H67" s="83">
        <f>1421+1689+1718+1574+1629+1646+1489</f>
        <v>11166</v>
      </c>
      <c r="I67" s="83">
        <f>H67</f>
        <v>11166</v>
      </c>
      <c r="J67" s="75">
        <f t="shared" si="31"/>
        <v>11166</v>
      </c>
      <c r="K67" s="35">
        <f>'1.08'!M67</f>
        <v>9677</v>
      </c>
      <c r="L67" s="35">
        <v>1489</v>
      </c>
      <c r="M67" s="93">
        <f t="shared" si="32"/>
        <v>11166</v>
      </c>
      <c r="N67" s="35">
        <f t="shared" ref="N67:N74" si="37">I67-M67</f>
        <v>0</v>
      </c>
      <c r="O67" s="70">
        <f t="shared" si="4"/>
        <v>100</v>
      </c>
      <c r="P67" s="71">
        <f t="shared" si="8"/>
        <v>0</v>
      </c>
      <c r="Q67" s="35">
        <f t="shared" si="9"/>
        <v>0</v>
      </c>
      <c r="R67" s="72">
        <v>1103637</v>
      </c>
      <c r="S67" s="72">
        <f t="shared" si="10"/>
        <v>27718</v>
      </c>
      <c r="T67" s="62"/>
    </row>
    <row r="68" spans="1:20" s="73" customFormat="1">
      <c r="A68" s="8"/>
      <c r="B68" s="8"/>
      <c r="C68" s="8"/>
      <c r="D68" s="45"/>
      <c r="E68" s="45"/>
      <c r="F68" s="47" t="s">
        <v>8</v>
      </c>
      <c r="G68" s="83">
        <v>7221</v>
      </c>
      <c r="H68" s="83">
        <f>238+322+361+438+481+807+358</f>
        <v>3005</v>
      </c>
      <c r="I68" s="83">
        <f t="shared" ref="I68:I74" si="38">H68</f>
        <v>3005</v>
      </c>
      <c r="J68" s="75">
        <f t="shared" si="31"/>
        <v>3005</v>
      </c>
      <c r="K68" s="35">
        <f>'1.08'!M68</f>
        <v>2647</v>
      </c>
      <c r="L68" s="35">
        <v>358</v>
      </c>
      <c r="M68" s="93">
        <f t="shared" si="32"/>
        <v>3005</v>
      </c>
      <c r="N68" s="35">
        <f t="shared" si="37"/>
        <v>0</v>
      </c>
      <c r="O68" s="70">
        <f t="shared" si="4"/>
        <v>100</v>
      </c>
      <c r="P68" s="71">
        <f t="shared" si="8"/>
        <v>0</v>
      </c>
      <c r="Q68" s="35">
        <f t="shared" si="9"/>
        <v>0</v>
      </c>
      <c r="R68" s="72">
        <v>1103638</v>
      </c>
      <c r="S68" s="72">
        <f t="shared" si="10"/>
        <v>4216</v>
      </c>
      <c r="T68" s="62"/>
    </row>
    <row r="69" spans="1:20" s="73" customFormat="1">
      <c r="A69" s="8"/>
      <c r="B69" s="8"/>
      <c r="C69" s="8"/>
      <c r="D69" s="45"/>
      <c r="E69" s="45"/>
      <c r="F69" s="49" t="s">
        <v>9</v>
      </c>
      <c r="G69" s="83">
        <v>13554</v>
      </c>
      <c r="H69" s="83">
        <f>588+692+689+609+643+657+513</f>
        <v>4391</v>
      </c>
      <c r="I69" s="83">
        <f t="shared" si="38"/>
        <v>4391</v>
      </c>
      <c r="J69" s="75">
        <f t="shared" si="31"/>
        <v>4391</v>
      </c>
      <c r="K69" s="35">
        <f>'1.08'!M69</f>
        <v>3878</v>
      </c>
      <c r="L69" s="35">
        <v>513</v>
      </c>
      <c r="M69" s="93">
        <f t="shared" si="32"/>
        <v>4391</v>
      </c>
      <c r="N69" s="35">
        <f t="shared" si="37"/>
        <v>0</v>
      </c>
      <c r="O69" s="70">
        <f t="shared" si="4"/>
        <v>100</v>
      </c>
      <c r="P69" s="71">
        <f t="shared" si="8"/>
        <v>0</v>
      </c>
      <c r="Q69" s="35">
        <f t="shared" si="9"/>
        <v>0</v>
      </c>
      <c r="R69" s="72">
        <v>1103639</v>
      </c>
      <c r="S69" s="72">
        <f t="shared" si="10"/>
        <v>9163</v>
      </c>
      <c r="T69" s="62"/>
    </row>
    <row r="70" spans="1:20" s="73" customFormat="1">
      <c r="A70" s="8"/>
      <c r="B70" s="8"/>
      <c r="C70" s="8"/>
      <c r="D70" s="45"/>
      <c r="E70" s="45"/>
      <c r="F70" s="49" t="s">
        <v>10</v>
      </c>
      <c r="G70" s="83">
        <v>4777</v>
      </c>
      <c r="H70" s="83">
        <f>215+246+259+233+763+327+254</f>
        <v>2297</v>
      </c>
      <c r="I70" s="83">
        <f t="shared" si="38"/>
        <v>2297</v>
      </c>
      <c r="J70" s="75">
        <f t="shared" si="31"/>
        <v>2297</v>
      </c>
      <c r="K70" s="35">
        <f>'1.08'!M70</f>
        <v>2043</v>
      </c>
      <c r="L70" s="35">
        <v>254</v>
      </c>
      <c r="M70" s="93">
        <f t="shared" si="32"/>
        <v>2297</v>
      </c>
      <c r="N70" s="35">
        <f t="shared" si="37"/>
        <v>0</v>
      </c>
      <c r="O70" s="70">
        <f t="shared" si="4"/>
        <v>100</v>
      </c>
      <c r="P70" s="71">
        <f t="shared" si="8"/>
        <v>0</v>
      </c>
      <c r="Q70" s="35">
        <f t="shared" si="9"/>
        <v>0</v>
      </c>
      <c r="R70" s="72">
        <v>1103640</v>
      </c>
      <c r="S70" s="72">
        <f t="shared" si="10"/>
        <v>2480</v>
      </c>
      <c r="T70" s="62"/>
    </row>
    <row r="71" spans="1:20" s="73" customFormat="1">
      <c r="A71" s="8"/>
      <c r="B71" s="8"/>
      <c r="C71" s="8"/>
      <c r="D71" s="45"/>
      <c r="E71" s="45"/>
      <c r="F71" s="49" t="s">
        <v>47</v>
      </c>
      <c r="G71" s="83">
        <v>10999</v>
      </c>
      <c r="H71" s="83">
        <f>508+650+573+459+488+477+354</f>
        <v>3509</v>
      </c>
      <c r="I71" s="83">
        <f t="shared" si="38"/>
        <v>3509</v>
      </c>
      <c r="J71" s="75">
        <f t="shared" si="31"/>
        <v>3509</v>
      </c>
      <c r="K71" s="35">
        <f>'1.08'!M71</f>
        <v>3155</v>
      </c>
      <c r="L71" s="35">
        <v>354</v>
      </c>
      <c r="M71" s="93">
        <f t="shared" si="32"/>
        <v>3509</v>
      </c>
      <c r="N71" s="35">
        <f t="shared" si="37"/>
        <v>0</v>
      </c>
      <c r="O71" s="70">
        <f t="shared" ref="O71:O74" si="39">M71/I71*100</f>
        <v>100</v>
      </c>
      <c r="P71" s="71">
        <f t="shared" si="8"/>
        <v>0</v>
      </c>
      <c r="Q71" s="35">
        <f t="shared" si="9"/>
        <v>0</v>
      </c>
      <c r="R71" s="72">
        <v>1103641</v>
      </c>
      <c r="S71" s="72">
        <f t="shared" si="10"/>
        <v>7490</v>
      </c>
      <c r="T71" s="62"/>
    </row>
    <row r="72" spans="1:20" s="73" customFormat="1">
      <c r="A72" s="8"/>
      <c r="B72" s="8"/>
      <c r="C72" s="8"/>
      <c r="D72" s="45"/>
      <c r="E72" s="45"/>
      <c r="F72" s="49" t="s">
        <v>48</v>
      </c>
      <c r="G72" s="83">
        <v>21109</v>
      </c>
      <c r="H72" s="83">
        <f>766+770+765+796+812+807+667</f>
        <v>5383</v>
      </c>
      <c r="I72" s="83">
        <f t="shared" si="38"/>
        <v>5383</v>
      </c>
      <c r="J72" s="75">
        <f t="shared" si="31"/>
        <v>5383</v>
      </c>
      <c r="K72" s="35">
        <f>'1.08'!M72</f>
        <v>4716</v>
      </c>
      <c r="L72" s="35">
        <v>667</v>
      </c>
      <c r="M72" s="93">
        <f t="shared" si="32"/>
        <v>5383</v>
      </c>
      <c r="N72" s="35">
        <f t="shared" si="37"/>
        <v>0</v>
      </c>
      <c r="O72" s="70">
        <f t="shared" si="39"/>
        <v>100</v>
      </c>
      <c r="P72" s="71">
        <f t="shared" si="8"/>
        <v>0</v>
      </c>
      <c r="Q72" s="35">
        <f t="shared" si="9"/>
        <v>0</v>
      </c>
      <c r="R72" s="72">
        <v>1103642</v>
      </c>
      <c r="S72" s="72">
        <f t="shared" si="10"/>
        <v>15726</v>
      </c>
      <c r="T72" s="62"/>
    </row>
    <row r="73" spans="1:20" s="73" customFormat="1">
      <c r="A73" s="8"/>
      <c r="B73" s="8"/>
      <c r="C73" s="8"/>
      <c r="D73" s="45"/>
      <c r="E73" s="45"/>
      <c r="F73" s="49" t="s">
        <v>12</v>
      </c>
      <c r="G73" s="83">
        <v>6554</v>
      </c>
      <c r="H73" s="83">
        <f>234+267+315+266+257+290+156</f>
        <v>1785</v>
      </c>
      <c r="I73" s="83">
        <f t="shared" si="38"/>
        <v>1785</v>
      </c>
      <c r="J73" s="75">
        <f t="shared" si="31"/>
        <v>1785</v>
      </c>
      <c r="K73" s="35">
        <f>'1.08'!M73</f>
        <v>1629</v>
      </c>
      <c r="L73" s="35">
        <v>156</v>
      </c>
      <c r="M73" s="93">
        <f t="shared" si="32"/>
        <v>1785</v>
      </c>
      <c r="N73" s="35">
        <f t="shared" si="37"/>
        <v>0</v>
      </c>
      <c r="O73" s="70">
        <f t="shared" si="39"/>
        <v>100</v>
      </c>
      <c r="P73" s="71">
        <f t="shared" si="8"/>
        <v>0</v>
      </c>
      <c r="Q73" s="35">
        <f t="shared" si="9"/>
        <v>0</v>
      </c>
      <c r="R73" s="72">
        <v>1103643</v>
      </c>
      <c r="S73" s="72">
        <f t="shared" si="10"/>
        <v>4769</v>
      </c>
      <c r="T73" s="62"/>
    </row>
    <row r="74" spans="1:20" s="73" customFormat="1">
      <c r="A74" s="8"/>
      <c r="B74" s="8"/>
      <c r="C74" s="8"/>
      <c r="D74" s="45"/>
      <c r="E74" s="45"/>
      <c r="F74" s="49" t="s">
        <v>11</v>
      </c>
      <c r="G74" s="83">
        <v>8000</v>
      </c>
      <c r="H74" s="83">
        <f>267+286+318+378+383+376+247</f>
        <v>2255</v>
      </c>
      <c r="I74" s="83">
        <f t="shared" si="38"/>
        <v>2255</v>
      </c>
      <c r="J74" s="75">
        <f t="shared" si="31"/>
        <v>2255</v>
      </c>
      <c r="K74" s="35">
        <f>'1.08'!M74</f>
        <v>2008</v>
      </c>
      <c r="L74" s="35">
        <v>247</v>
      </c>
      <c r="M74" s="93">
        <f t="shared" si="32"/>
        <v>2255</v>
      </c>
      <c r="N74" s="35">
        <f t="shared" si="37"/>
        <v>0</v>
      </c>
      <c r="O74" s="70">
        <f t="shared" si="39"/>
        <v>100</v>
      </c>
      <c r="P74" s="71">
        <f t="shared" si="8"/>
        <v>0</v>
      </c>
      <c r="Q74" s="35">
        <f t="shared" si="9"/>
        <v>0</v>
      </c>
      <c r="R74" s="72">
        <v>1103644</v>
      </c>
      <c r="S74" s="72">
        <f t="shared" si="10"/>
        <v>5745</v>
      </c>
      <c r="T74" s="62"/>
    </row>
    <row r="75" spans="1:20" s="73" customFormat="1">
      <c r="A75" s="8"/>
      <c r="B75" s="8"/>
      <c r="C75" s="8"/>
      <c r="D75" s="45"/>
      <c r="E75" s="45"/>
      <c r="F75" s="51" t="s">
        <v>58</v>
      </c>
      <c r="G75" s="82">
        <f>SUM(G76:G83)</f>
        <v>314536</v>
      </c>
      <c r="H75" s="82">
        <f t="shared" ref="H75:O75" si="40">SUM(H76:H83)</f>
        <v>314536</v>
      </c>
      <c r="I75" s="82">
        <f t="shared" si="40"/>
        <v>314536</v>
      </c>
      <c r="J75" s="108">
        <f t="shared" si="40"/>
        <v>314536</v>
      </c>
      <c r="K75" s="108">
        <f t="shared" si="40"/>
        <v>314536</v>
      </c>
      <c r="L75" s="108">
        <f t="shared" si="40"/>
        <v>0</v>
      </c>
      <c r="M75" s="123">
        <f t="shared" si="40"/>
        <v>314536</v>
      </c>
      <c r="N75" s="123">
        <f t="shared" si="40"/>
        <v>0</v>
      </c>
      <c r="O75" s="82" t="e">
        <f t="shared" si="40"/>
        <v>#DIV/0!</v>
      </c>
      <c r="P75" s="71">
        <f t="shared" ref="P75:P157" si="41">J75-M75</f>
        <v>0</v>
      </c>
      <c r="Q75" s="35">
        <f t="shared" ref="Q75:Q157" si="42">H75-J75</f>
        <v>0</v>
      </c>
      <c r="R75" s="72">
        <v>1103645</v>
      </c>
      <c r="S75" s="72">
        <f t="shared" ref="S75:S157" si="43">G75-M75</f>
        <v>0</v>
      </c>
      <c r="T75" s="62"/>
    </row>
    <row r="76" spans="1:20" s="73" customFormat="1">
      <c r="A76" s="8"/>
      <c r="B76" s="8"/>
      <c r="C76" s="8"/>
      <c r="D76" s="45"/>
      <c r="E76" s="45"/>
      <c r="F76" s="47" t="s">
        <v>46</v>
      </c>
      <c r="G76" s="83"/>
      <c r="H76" s="83"/>
      <c r="I76" s="83"/>
      <c r="J76" s="75">
        <f t="shared" ref="J76:J83" si="44">M76</f>
        <v>0</v>
      </c>
      <c r="K76" s="35">
        <f>'1.06.'!M76</f>
        <v>0</v>
      </c>
      <c r="L76" s="35"/>
      <c r="M76" s="93">
        <f t="shared" ref="M76:M83" si="45">K76+L76</f>
        <v>0</v>
      </c>
      <c r="N76" s="35">
        <f t="shared" ref="N76:N83" si="46">I76-M76</f>
        <v>0</v>
      </c>
      <c r="O76" s="70" t="e">
        <f t="shared" ref="O76:O83" si="47">M76/I76*100</f>
        <v>#DIV/0!</v>
      </c>
      <c r="P76" s="71">
        <f t="shared" si="41"/>
        <v>0</v>
      </c>
      <c r="Q76" s="35">
        <f t="shared" si="42"/>
        <v>0</v>
      </c>
      <c r="R76" s="72">
        <v>1103646</v>
      </c>
      <c r="S76" s="72">
        <f t="shared" si="43"/>
        <v>0</v>
      </c>
      <c r="T76" s="62"/>
    </row>
    <row r="77" spans="1:20" s="73" customFormat="1">
      <c r="A77" s="8"/>
      <c r="B77" s="8"/>
      <c r="C77" s="8"/>
      <c r="D77" s="45"/>
      <c r="E77" s="45"/>
      <c r="F77" s="47" t="s">
        <v>8</v>
      </c>
      <c r="G77" s="83"/>
      <c r="H77" s="83"/>
      <c r="I77" s="83"/>
      <c r="J77" s="75">
        <f t="shared" si="44"/>
        <v>0</v>
      </c>
      <c r="K77" s="35">
        <f>'1.06.'!M77</f>
        <v>0</v>
      </c>
      <c r="L77" s="35"/>
      <c r="M77" s="93">
        <f t="shared" si="45"/>
        <v>0</v>
      </c>
      <c r="N77" s="35">
        <f t="shared" si="46"/>
        <v>0</v>
      </c>
      <c r="O77" s="70" t="e">
        <f t="shared" si="47"/>
        <v>#DIV/0!</v>
      </c>
      <c r="P77" s="71">
        <f t="shared" si="41"/>
        <v>0</v>
      </c>
      <c r="Q77" s="35">
        <f t="shared" si="42"/>
        <v>0</v>
      </c>
      <c r="R77" s="72">
        <v>1103647</v>
      </c>
      <c r="S77" s="72">
        <f t="shared" si="43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9</v>
      </c>
      <c r="G78" s="83"/>
      <c r="H78" s="83"/>
      <c r="I78" s="83"/>
      <c r="J78" s="75">
        <f t="shared" si="44"/>
        <v>0</v>
      </c>
      <c r="K78" s="35">
        <f>'1.06.'!M78</f>
        <v>0</v>
      </c>
      <c r="L78" s="35"/>
      <c r="M78" s="93">
        <f t="shared" si="45"/>
        <v>0</v>
      </c>
      <c r="N78" s="35">
        <f t="shared" si="46"/>
        <v>0</v>
      </c>
      <c r="O78" s="70" t="e">
        <f t="shared" si="47"/>
        <v>#DIV/0!</v>
      </c>
      <c r="P78" s="71">
        <f t="shared" si="41"/>
        <v>0</v>
      </c>
      <c r="Q78" s="35">
        <f t="shared" si="42"/>
        <v>0</v>
      </c>
      <c r="R78" s="72">
        <v>1103648</v>
      </c>
      <c r="S78" s="72">
        <f t="shared" si="43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10</v>
      </c>
      <c r="G79" s="83"/>
      <c r="H79" s="83"/>
      <c r="I79" s="83"/>
      <c r="J79" s="75">
        <f t="shared" si="44"/>
        <v>0</v>
      </c>
      <c r="K79" s="35">
        <f>'1.06.'!M79</f>
        <v>0</v>
      </c>
      <c r="L79" s="35"/>
      <c r="M79" s="93">
        <f t="shared" si="45"/>
        <v>0</v>
      </c>
      <c r="N79" s="35">
        <f t="shared" si="46"/>
        <v>0</v>
      </c>
      <c r="O79" s="70" t="e">
        <f t="shared" si="47"/>
        <v>#DIV/0!</v>
      </c>
      <c r="P79" s="71">
        <f t="shared" si="41"/>
        <v>0</v>
      </c>
      <c r="Q79" s="35">
        <f t="shared" si="42"/>
        <v>0</v>
      </c>
      <c r="R79" s="72">
        <v>1103649</v>
      </c>
      <c r="S79" s="72">
        <f t="shared" si="43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47</v>
      </c>
      <c r="G80" s="83"/>
      <c r="H80" s="83"/>
      <c r="I80" s="83"/>
      <c r="J80" s="75">
        <f t="shared" si="44"/>
        <v>0</v>
      </c>
      <c r="K80" s="35">
        <f>'1.06.'!M80</f>
        <v>0</v>
      </c>
      <c r="L80" s="35"/>
      <c r="M80" s="93">
        <f t="shared" si="45"/>
        <v>0</v>
      </c>
      <c r="N80" s="35">
        <f t="shared" si="46"/>
        <v>0</v>
      </c>
      <c r="O80" s="70" t="e">
        <f t="shared" si="47"/>
        <v>#DIV/0!</v>
      </c>
      <c r="P80" s="71">
        <f t="shared" si="41"/>
        <v>0</v>
      </c>
      <c r="Q80" s="35">
        <f t="shared" si="42"/>
        <v>0</v>
      </c>
      <c r="R80" s="72">
        <v>1103650</v>
      </c>
      <c r="S80" s="72">
        <f t="shared" si="43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48</v>
      </c>
      <c r="G81" s="83"/>
      <c r="H81" s="83"/>
      <c r="I81" s="83"/>
      <c r="J81" s="75">
        <f t="shared" si="44"/>
        <v>0</v>
      </c>
      <c r="K81" s="35">
        <f>'1.06.'!M81</f>
        <v>0</v>
      </c>
      <c r="L81" s="35"/>
      <c r="M81" s="93">
        <f t="shared" si="45"/>
        <v>0</v>
      </c>
      <c r="N81" s="35">
        <f t="shared" si="46"/>
        <v>0</v>
      </c>
      <c r="O81" s="70" t="e">
        <f t="shared" si="47"/>
        <v>#DIV/0!</v>
      </c>
      <c r="P81" s="71">
        <f t="shared" si="41"/>
        <v>0</v>
      </c>
      <c r="Q81" s="35">
        <f t="shared" si="42"/>
        <v>0</v>
      </c>
      <c r="R81" s="72">
        <v>1103651</v>
      </c>
      <c r="S81" s="72">
        <f t="shared" si="43"/>
        <v>0</v>
      </c>
      <c r="T81" s="62"/>
    </row>
    <row r="82" spans="1:20" s="73" customFormat="1">
      <c r="A82" s="8"/>
      <c r="B82" s="8"/>
      <c r="C82" s="8"/>
      <c r="D82" s="45"/>
      <c r="E82" s="45"/>
      <c r="F82" s="49" t="s">
        <v>12</v>
      </c>
      <c r="G82" s="83">
        <v>314536</v>
      </c>
      <c r="H82" s="83">
        <v>314536</v>
      </c>
      <c r="I82" s="83">
        <f>125000+119478+33058+37000</f>
        <v>314536</v>
      </c>
      <c r="J82" s="75">
        <f t="shared" si="44"/>
        <v>314536</v>
      </c>
      <c r="K82" s="35">
        <f>'1.08'!M82</f>
        <v>314536</v>
      </c>
      <c r="L82" s="35"/>
      <c r="M82" s="93">
        <f t="shared" si="45"/>
        <v>314536</v>
      </c>
      <c r="N82" s="35">
        <f t="shared" si="46"/>
        <v>0</v>
      </c>
      <c r="O82" s="70">
        <f t="shared" si="47"/>
        <v>100</v>
      </c>
      <c r="P82" s="71">
        <f t="shared" si="41"/>
        <v>0</v>
      </c>
      <c r="Q82" s="35">
        <f t="shared" si="42"/>
        <v>0</v>
      </c>
      <c r="R82" s="72">
        <v>1103652</v>
      </c>
      <c r="S82" s="72">
        <f t="shared" si="43"/>
        <v>0</v>
      </c>
      <c r="T82" s="62"/>
    </row>
    <row r="83" spans="1:20" s="73" customFormat="1">
      <c r="A83" s="8"/>
      <c r="B83" s="8"/>
      <c r="C83" s="8"/>
      <c r="D83" s="45"/>
      <c r="E83" s="45"/>
      <c r="F83" s="49" t="s">
        <v>11</v>
      </c>
      <c r="G83" s="83"/>
      <c r="H83" s="83"/>
      <c r="I83" s="83"/>
      <c r="J83" s="75">
        <f t="shared" si="44"/>
        <v>0</v>
      </c>
      <c r="K83" s="35">
        <f>'1.06.'!M83</f>
        <v>0</v>
      </c>
      <c r="L83" s="35"/>
      <c r="M83" s="93">
        <f t="shared" si="45"/>
        <v>0</v>
      </c>
      <c r="N83" s="35">
        <f t="shared" si="46"/>
        <v>0</v>
      </c>
      <c r="O83" s="70" t="e">
        <f t="shared" si="47"/>
        <v>#DIV/0!</v>
      </c>
      <c r="P83" s="71">
        <f t="shared" si="41"/>
        <v>0</v>
      </c>
      <c r="Q83" s="35">
        <f t="shared" si="42"/>
        <v>0</v>
      </c>
      <c r="R83" s="72">
        <v>1103653</v>
      </c>
      <c r="S83" s="72">
        <f t="shared" si="43"/>
        <v>0</v>
      </c>
      <c r="T83" s="62"/>
    </row>
    <row r="84" spans="1:20" s="73" customFormat="1" ht="25.5">
      <c r="A84" s="8"/>
      <c r="B84" s="8"/>
      <c r="C84" s="8"/>
      <c r="D84" s="45"/>
      <c r="E84" s="45"/>
      <c r="F84" s="51" t="s">
        <v>59</v>
      </c>
      <c r="G84" s="82">
        <f>SUM(G85:G92)</f>
        <v>293942</v>
      </c>
      <c r="H84" s="82">
        <f t="shared" ref="H84:O84" si="48">SUM(H85:H92)</f>
        <v>260036</v>
      </c>
      <c r="I84" s="82">
        <f t="shared" si="48"/>
        <v>260036</v>
      </c>
      <c r="J84" s="108">
        <f t="shared" si="48"/>
        <v>260036</v>
      </c>
      <c r="K84" s="108">
        <f t="shared" si="48"/>
        <v>248745</v>
      </c>
      <c r="L84" s="108">
        <f t="shared" si="48"/>
        <v>11291</v>
      </c>
      <c r="M84" s="123">
        <f t="shared" si="48"/>
        <v>260036</v>
      </c>
      <c r="N84" s="123">
        <f t="shared" si="48"/>
        <v>0</v>
      </c>
      <c r="O84" s="82">
        <f t="shared" si="48"/>
        <v>800</v>
      </c>
      <c r="P84" s="71">
        <f t="shared" si="41"/>
        <v>0</v>
      </c>
      <c r="Q84" s="35">
        <f t="shared" si="42"/>
        <v>0</v>
      </c>
      <c r="R84" s="72">
        <v>1103654</v>
      </c>
      <c r="S84" s="72">
        <f t="shared" si="43"/>
        <v>33906</v>
      </c>
      <c r="T84" s="62"/>
    </row>
    <row r="85" spans="1:20" s="73" customFormat="1">
      <c r="A85" s="8"/>
      <c r="B85" s="8"/>
      <c r="C85" s="8"/>
      <c r="D85" s="45"/>
      <c r="E85" s="45"/>
      <c r="F85" s="47" t="s">
        <v>46</v>
      </c>
      <c r="G85" s="83">
        <v>188942</v>
      </c>
      <c r="H85" s="83">
        <f>20908+10000+29084+13201+68790+31037+2006</f>
        <v>175026</v>
      </c>
      <c r="I85" s="83">
        <f>20908+10000+29084+13201+34782+65045+2006</f>
        <v>175026</v>
      </c>
      <c r="J85" s="75">
        <f t="shared" ref="J85:J92" si="49">M85</f>
        <v>175026</v>
      </c>
      <c r="K85" s="35">
        <f>'1.08'!M85</f>
        <v>173020</v>
      </c>
      <c r="L85" s="35">
        <v>2006</v>
      </c>
      <c r="M85" s="93">
        <f t="shared" ref="M85:M92" si="50">K85+L85</f>
        <v>175026</v>
      </c>
      <c r="N85" s="35">
        <f t="shared" ref="N85:N92" si="51">I85-M85</f>
        <v>0</v>
      </c>
      <c r="O85" s="70">
        <f t="shared" ref="O85:O167" si="52">M85/I85*100</f>
        <v>100</v>
      </c>
      <c r="P85" s="71">
        <f t="shared" si="41"/>
        <v>0</v>
      </c>
      <c r="Q85" s="35">
        <f t="shared" si="42"/>
        <v>0</v>
      </c>
      <c r="R85" s="72">
        <v>1103655</v>
      </c>
      <c r="S85" s="72">
        <f t="shared" si="43"/>
        <v>13916</v>
      </c>
      <c r="T85" s="62"/>
    </row>
    <row r="86" spans="1:20" s="73" customFormat="1">
      <c r="A86" s="8"/>
      <c r="B86" s="8"/>
      <c r="C86" s="8"/>
      <c r="D86" s="45"/>
      <c r="E86" s="45"/>
      <c r="F86" s="47" t="s">
        <v>8</v>
      </c>
      <c r="G86" s="83">
        <v>15000</v>
      </c>
      <c r="H86" s="83">
        <f>6986+7406+608</f>
        <v>15000</v>
      </c>
      <c r="I86" s="83">
        <f t="shared" ref="I86:I92" si="53">H86</f>
        <v>15000</v>
      </c>
      <c r="J86" s="75">
        <f t="shared" si="49"/>
        <v>15000</v>
      </c>
      <c r="K86" s="35">
        <f>'1.08'!M86</f>
        <v>15000</v>
      </c>
      <c r="L86" s="35"/>
      <c r="M86" s="93">
        <f t="shared" si="50"/>
        <v>15000</v>
      </c>
      <c r="N86" s="35">
        <f t="shared" si="51"/>
        <v>0</v>
      </c>
      <c r="O86" s="70">
        <f t="shared" si="52"/>
        <v>100</v>
      </c>
      <c r="P86" s="71">
        <f t="shared" si="41"/>
        <v>0</v>
      </c>
      <c r="Q86" s="35">
        <f t="shared" si="42"/>
        <v>0</v>
      </c>
      <c r="R86" s="72">
        <v>1103656</v>
      </c>
      <c r="S86" s="72">
        <f t="shared" si="43"/>
        <v>0</v>
      </c>
      <c r="T86" s="62"/>
    </row>
    <row r="87" spans="1:20" s="73" customFormat="1">
      <c r="A87" s="8"/>
      <c r="B87" s="8"/>
      <c r="C87" s="8"/>
      <c r="D87" s="45"/>
      <c r="E87" s="45"/>
      <c r="F87" s="49" t="s">
        <v>9</v>
      </c>
      <c r="G87" s="83">
        <v>15000</v>
      </c>
      <c r="H87" s="83">
        <f>3950+6105+1105+1105+1105+1105</f>
        <v>14475</v>
      </c>
      <c r="I87" s="83">
        <f t="shared" si="53"/>
        <v>14475</v>
      </c>
      <c r="J87" s="75">
        <f t="shared" si="49"/>
        <v>14475</v>
      </c>
      <c r="K87" s="35">
        <f>'1.08'!M87</f>
        <v>14475</v>
      </c>
      <c r="L87" s="35"/>
      <c r="M87" s="93">
        <f t="shared" si="50"/>
        <v>14475</v>
      </c>
      <c r="N87" s="35">
        <f t="shared" si="51"/>
        <v>0</v>
      </c>
      <c r="O87" s="70">
        <f t="shared" si="52"/>
        <v>100</v>
      </c>
      <c r="P87" s="71">
        <f t="shared" si="41"/>
        <v>0</v>
      </c>
      <c r="Q87" s="35">
        <f t="shared" si="42"/>
        <v>0</v>
      </c>
      <c r="R87" s="72">
        <v>1103657</v>
      </c>
      <c r="S87" s="72">
        <f t="shared" si="43"/>
        <v>525</v>
      </c>
      <c r="T87" s="62"/>
    </row>
    <row r="88" spans="1:20" s="73" customFormat="1">
      <c r="A88" s="8"/>
      <c r="B88" s="8"/>
      <c r="C88" s="8"/>
      <c r="D88" s="45"/>
      <c r="E88" s="45"/>
      <c r="F88" s="49" t="s">
        <v>10</v>
      </c>
      <c r="G88" s="83">
        <v>15000</v>
      </c>
      <c r="H88" s="83">
        <f>1000+1500+1500+1500+1500+1500</f>
        <v>8500</v>
      </c>
      <c r="I88" s="83">
        <f t="shared" si="53"/>
        <v>8500</v>
      </c>
      <c r="J88" s="75">
        <f t="shared" si="49"/>
        <v>8500</v>
      </c>
      <c r="K88" s="35">
        <f>'1.08'!M88</f>
        <v>7000</v>
      </c>
      <c r="L88" s="35">
        <v>1500</v>
      </c>
      <c r="M88" s="93">
        <f t="shared" si="50"/>
        <v>8500</v>
      </c>
      <c r="N88" s="35">
        <f t="shared" si="51"/>
        <v>0</v>
      </c>
      <c r="O88" s="70">
        <f t="shared" si="52"/>
        <v>100</v>
      </c>
      <c r="P88" s="71">
        <f t="shared" si="41"/>
        <v>0</v>
      </c>
      <c r="Q88" s="35">
        <f t="shared" si="42"/>
        <v>0</v>
      </c>
      <c r="R88" s="72">
        <v>1103658</v>
      </c>
      <c r="S88" s="72">
        <f t="shared" si="43"/>
        <v>6500</v>
      </c>
      <c r="T88" s="62"/>
    </row>
    <row r="89" spans="1:20" s="73" customFormat="1">
      <c r="A89" s="8"/>
      <c r="B89" s="8"/>
      <c r="C89" s="8"/>
      <c r="D89" s="45"/>
      <c r="E89" s="45"/>
      <c r="F89" s="49" t="s">
        <v>47</v>
      </c>
      <c r="G89" s="83">
        <v>15000</v>
      </c>
      <c r="H89" s="83">
        <f>2500+1250+1250+1250+1250+1250+1250</f>
        <v>10000</v>
      </c>
      <c r="I89" s="83">
        <f t="shared" si="53"/>
        <v>10000</v>
      </c>
      <c r="J89" s="75">
        <f t="shared" si="49"/>
        <v>10000</v>
      </c>
      <c r="K89" s="35">
        <f>'1.08'!M89</f>
        <v>8750</v>
      </c>
      <c r="L89" s="35">
        <v>1250</v>
      </c>
      <c r="M89" s="93">
        <f t="shared" si="50"/>
        <v>10000</v>
      </c>
      <c r="N89" s="35">
        <f t="shared" si="51"/>
        <v>0</v>
      </c>
      <c r="O89" s="70">
        <f t="shared" si="52"/>
        <v>100</v>
      </c>
      <c r="P89" s="71">
        <f t="shared" si="41"/>
        <v>0</v>
      </c>
      <c r="Q89" s="35">
        <f t="shared" si="42"/>
        <v>0</v>
      </c>
      <c r="R89" s="72">
        <v>1103659</v>
      </c>
      <c r="S89" s="72">
        <f t="shared" si="43"/>
        <v>5000</v>
      </c>
      <c r="T89" s="62"/>
    </row>
    <row r="90" spans="1:20" s="73" customFormat="1">
      <c r="A90" s="8"/>
      <c r="B90" s="8"/>
      <c r="C90" s="8"/>
      <c r="D90" s="45"/>
      <c r="E90" s="45"/>
      <c r="F90" s="49" t="s">
        <v>48</v>
      </c>
      <c r="G90" s="83">
        <v>15000</v>
      </c>
      <c r="H90" s="83">
        <f>5000+5000+5000</f>
        <v>15000</v>
      </c>
      <c r="I90" s="83">
        <f t="shared" si="53"/>
        <v>15000</v>
      </c>
      <c r="J90" s="75">
        <f t="shared" si="49"/>
        <v>15000</v>
      </c>
      <c r="K90" s="35">
        <f>'1.08'!M90</f>
        <v>10000</v>
      </c>
      <c r="L90" s="35">
        <v>5000</v>
      </c>
      <c r="M90" s="93">
        <f t="shared" si="50"/>
        <v>15000</v>
      </c>
      <c r="N90" s="35">
        <f t="shared" si="51"/>
        <v>0</v>
      </c>
      <c r="O90" s="70">
        <f t="shared" si="52"/>
        <v>100</v>
      </c>
      <c r="P90" s="71">
        <f t="shared" si="41"/>
        <v>0</v>
      </c>
      <c r="Q90" s="35">
        <f t="shared" si="42"/>
        <v>0</v>
      </c>
      <c r="R90" s="72">
        <v>1103660</v>
      </c>
      <c r="S90" s="72">
        <f t="shared" si="43"/>
        <v>0</v>
      </c>
      <c r="T90" s="62"/>
    </row>
    <row r="91" spans="1:20" s="73" customFormat="1">
      <c r="A91" s="8"/>
      <c r="B91" s="8"/>
      <c r="C91" s="8"/>
      <c r="D91" s="45"/>
      <c r="E91" s="45"/>
      <c r="F91" s="49" t="s">
        <v>12</v>
      </c>
      <c r="G91" s="83">
        <v>15000</v>
      </c>
      <c r="H91" s="83">
        <f>1000+1000+1000+1000+1000+500+1535</f>
        <v>7035</v>
      </c>
      <c r="I91" s="83">
        <f t="shared" si="53"/>
        <v>7035</v>
      </c>
      <c r="J91" s="75">
        <f t="shared" si="49"/>
        <v>7035</v>
      </c>
      <c r="K91" s="35">
        <f>'1.08'!M91</f>
        <v>5500</v>
      </c>
      <c r="L91" s="35">
        <v>1535</v>
      </c>
      <c r="M91" s="93">
        <f t="shared" si="50"/>
        <v>7035</v>
      </c>
      <c r="N91" s="35">
        <f t="shared" si="51"/>
        <v>0</v>
      </c>
      <c r="O91" s="70">
        <f t="shared" si="52"/>
        <v>100</v>
      </c>
      <c r="P91" s="71">
        <f t="shared" si="41"/>
        <v>0</v>
      </c>
      <c r="Q91" s="35">
        <f t="shared" si="42"/>
        <v>0</v>
      </c>
      <c r="R91" s="72">
        <v>1103661</v>
      </c>
      <c r="S91" s="72">
        <f t="shared" si="43"/>
        <v>7965</v>
      </c>
      <c r="T91" s="62"/>
    </row>
    <row r="92" spans="1:20" s="73" customFormat="1">
      <c r="A92" s="8"/>
      <c r="B92" s="8"/>
      <c r="C92" s="8"/>
      <c r="D92" s="45"/>
      <c r="E92" s="45"/>
      <c r="F92" s="49" t="s">
        <v>11</v>
      </c>
      <c r="G92" s="83">
        <v>15000</v>
      </c>
      <c r="H92" s="83">
        <f>1440+3462+6137+3961</f>
        <v>15000</v>
      </c>
      <c r="I92" s="83">
        <f t="shared" si="53"/>
        <v>15000</v>
      </c>
      <c r="J92" s="75">
        <f t="shared" si="49"/>
        <v>15000</v>
      </c>
      <c r="K92" s="35">
        <f>'1.08'!M92</f>
        <v>15000</v>
      </c>
      <c r="L92" s="35"/>
      <c r="M92" s="93">
        <f t="shared" si="50"/>
        <v>15000</v>
      </c>
      <c r="N92" s="35">
        <f t="shared" si="51"/>
        <v>0</v>
      </c>
      <c r="O92" s="70">
        <f t="shared" si="52"/>
        <v>100</v>
      </c>
      <c r="P92" s="71">
        <f t="shared" si="41"/>
        <v>0</v>
      </c>
      <c r="Q92" s="35">
        <f t="shared" si="42"/>
        <v>0</v>
      </c>
      <c r="R92" s="72">
        <v>1103662</v>
      </c>
      <c r="S92" s="72">
        <f t="shared" si="43"/>
        <v>0</v>
      </c>
      <c r="T92" s="62"/>
    </row>
    <row r="93" spans="1:20" s="73" customFormat="1">
      <c r="A93" s="8"/>
      <c r="B93" s="8"/>
      <c r="C93" s="8"/>
      <c r="D93" s="45"/>
      <c r="E93" s="45"/>
      <c r="F93" s="51" t="s">
        <v>65</v>
      </c>
      <c r="G93" s="82">
        <f>SUM(G94:G101)</f>
        <v>130000</v>
      </c>
      <c r="H93" s="82">
        <f t="shared" ref="H93:O93" si="54">SUM(H94:H101)</f>
        <v>57307</v>
      </c>
      <c r="I93" s="82">
        <f t="shared" si="54"/>
        <v>57307</v>
      </c>
      <c r="J93" s="108">
        <f t="shared" si="54"/>
        <v>57307</v>
      </c>
      <c r="K93" s="108">
        <f t="shared" si="54"/>
        <v>57229</v>
      </c>
      <c r="L93" s="108">
        <f t="shared" si="54"/>
        <v>78</v>
      </c>
      <c r="M93" s="123">
        <f t="shared" si="54"/>
        <v>57307</v>
      </c>
      <c r="N93" s="123">
        <f t="shared" si="54"/>
        <v>0</v>
      </c>
      <c r="O93" s="82" t="e">
        <f t="shared" si="54"/>
        <v>#DIV/0!</v>
      </c>
      <c r="P93" s="71">
        <f t="shared" si="41"/>
        <v>0</v>
      </c>
      <c r="Q93" s="35">
        <f t="shared" si="42"/>
        <v>0</v>
      </c>
      <c r="R93" s="72">
        <v>1103654</v>
      </c>
      <c r="S93" s="72">
        <f t="shared" si="43"/>
        <v>72693</v>
      </c>
      <c r="T93" s="62"/>
    </row>
    <row r="94" spans="1:20" s="73" customFormat="1">
      <c r="A94" s="8"/>
      <c r="B94" s="8"/>
      <c r="C94" s="8"/>
      <c r="D94" s="45"/>
      <c r="E94" s="45"/>
      <c r="F94" s="47" t="s">
        <v>46</v>
      </c>
      <c r="G94" s="48">
        <v>86229</v>
      </c>
      <c r="H94" s="83">
        <f>26324+11981+11981</f>
        <v>50286</v>
      </c>
      <c r="I94" s="83">
        <f>H94</f>
        <v>50286</v>
      </c>
      <c r="J94" s="75">
        <f t="shared" ref="J94:J101" si="55">M94</f>
        <v>50286</v>
      </c>
      <c r="K94" s="35">
        <f>'1.08'!M94</f>
        <v>50286</v>
      </c>
      <c r="L94" s="35"/>
      <c r="M94" s="93">
        <f t="shared" ref="M94:M101" si="56">K94+L94</f>
        <v>50286</v>
      </c>
      <c r="N94" s="35">
        <f t="shared" ref="N94:N101" si="57">I94-M94</f>
        <v>0</v>
      </c>
      <c r="O94" s="70">
        <f t="shared" ref="O94:O101" si="58">M94/I94*100</f>
        <v>100</v>
      </c>
      <c r="P94" s="71">
        <f t="shared" si="41"/>
        <v>0</v>
      </c>
      <c r="Q94" s="35">
        <f t="shared" si="42"/>
        <v>0</v>
      </c>
      <c r="R94" s="72">
        <v>1103655</v>
      </c>
      <c r="S94" s="72">
        <f t="shared" si="43"/>
        <v>35943</v>
      </c>
      <c r="T94" s="62"/>
    </row>
    <row r="95" spans="1:20" s="73" customFormat="1">
      <c r="A95" s="8"/>
      <c r="B95" s="8"/>
      <c r="C95" s="8"/>
      <c r="D95" s="45"/>
      <c r="E95" s="45"/>
      <c r="F95" s="47" t="s">
        <v>8</v>
      </c>
      <c r="G95" s="48">
        <v>4898</v>
      </c>
      <c r="H95" s="83">
        <f>616+4282</f>
        <v>4898</v>
      </c>
      <c r="I95" s="83">
        <f t="shared" ref="I95:I101" si="59">H95</f>
        <v>4898</v>
      </c>
      <c r="J95" s="75">
        <f t="shared" si="55"/>
        <v>4898</v>
      </c>
      <c r="K95" s="35">
        <f>'1.08'!M95</f>
        <v>4898</v>
      </c>
      <c r="L95" s="35"/>
      <c r="M95" s="93">
        <f t="shared" si="56"/>
        <v>4898</v>
      </c>
      <c r="N95" s="35">
        <f t="shared" si="57"/>
        <v>0</v>
      </c>
      <c r="O95" s="70">
        <f t="shared" si="58"/>
        <v>100</v>
      </c>
      <c r="P95" s="71">
        <f t="shared" si="41"/>
        <v>0</v>
      </c>
      <c r="Q95" s="35">
        <f t="shared" si="42"/>
        <v>0</v>
      </c>
      <c r="R95" s="72">
        <v>1103656</v>
      </c>
      <c r="S95" s="72">
        <f t="shared" si="43"/>
        <v>0</v>
      </c>
      <c r="T95" s="62"/>
    </row>
    <row r="96" spans="1:20" s="73" customFormat="1">
      <c r="A96" s="8"/>
      <c r="B96" s="8"/>
      <c r="C96" s="8"/>
      <c r="D96" s="45"/>
      <c r="E96" s="45"/>
      <c r="F96" s="49" t="s">
        <v>9</v>
      </c>
      <c r="G96" s="48">
        <v>3290</v>
      </c>
      <c r="H96" s="83"/>
      <c r="I96" s="83">
        <f t="shared" si="59"/>
        <v>0</v>
      </c>
      <c r="J96" s="75">
        <f t="shared" si="55"/>
        <v>0</v>
      </c>
      <c r="K96" s="35">
        <f>'1.08'!M96</f>
        <v>0</v>
      </c>
      <c r="L96" s="35"/>
      <c r="M96" s="93">
        <f t="shared" si="56"/>
        <v>0</v>
      </c>
      <c r="N96" s="35">
        <f t="shared" si="57"/>
        <v>0</v>
      </c>
      <c r="O96" s="70" t="e">
        <f t="shared" si="58"/>
        <v>#DIV/0!</v>
      </c>
      <c r="P96" s="71">
        <f t="shared" si="41"/>
        <v>0</v>
      </c>
      <c r="Q96" s="35">
        <f t="shared" si="42"/>
        <v>0</v>
      </c>
      <c r="R96" s="72">
        <v>1103657</v>
      </c>
      <c r="S96" s="72">
        <f t="shared" si="43"/>
        <v>3290</v>
      </c>
      <c r="T96" s="62"/>
    </row>
    <row r="97" spans="1:20" s="73" customFormat="1">
      <c r="A97" s="8"/>
      <c r="B97" s="8"/>
      <c r="C97" s="8"/>
      <c r="D97" s="45"/>
      <c r="E97" s="45"/>
      <c r="F97" s="49" t="s">
        <v>10</v>
      </c>
      <c r="G97" s="48">
        <v>3918</v>
      </c>
      <c r="H97" s="83">
        <v>78</v>
      </c>
      <c r="I97" s="83">
        <f t="shared" si="59"/>
        <v>78</v>
      </c>
      <c r="J97" s="75">
        <f t="shared" si="55"/>
        <v>78</v>
      </c>
      <c r="K97" s="35">
        <f>'1.08'!M97</f>
        <v>0</v>
      </c>
      <c r="L97" s="35">
        <v>78</v>
      </c>
      <c r="M97" s="93">
        <f t="shared" si="56"/>
        <v>78</v>
      </c>
      <c r="N97" s="35">
        <f t="shared" si="57"/>
        <v>0</v>
      </c>
      <c r="O97" s="70">
        <f t="shared" si="58"/>
        <v>100</v>
      </c>
      <c r="P97" s="71">
        <f t="shared" si="41"/>
        <v>0</v>
      </c>
      <c r="Q97" s="35">
        <f t="shared" si="42"/>
        <v>0</v>
      </c>
      <c r="R97" s="72">
        <v>1103658</v>
      </c>
      <c r="S97" s="72">
        <f t="shared" si="43"/>
        <v>3840</v>
      </c>
      <c r="T97" s="62"/>
    </row>
    <row r="98" spans="1:20" s="73" customFormat="1">
      <c r="A98" s="8"/>
      <c r="B98" s="8"/>
      <c r="C98" s="8"/>
      <c r="D98" s="45"/>
      <c r="E98" s="45"/>
      <c r="F98" s="49" t="s">
        <v>47</v>
      </c>
      <c r="G98" s="48">
        <v>4017</v>
      </c>
      <c r="H98" s="83">
        <f>2000-1455</f>
        <v>545</v>
      </c>
      <c r="I98" s="83">
        <f>H98</f>
        <v>545</v>
      </c>
      <c r="J98" s="75">
        <f t="shared" si="55"/>
        <v>545</v>
      </c>
      <c r="K98" s="35">
        <f>'1.08'!M98</f>
        <v>545</v>
      </c>
      <c r="L98" s="35"/>
      <c r="M98" s="93">
        <f t="shared" si="56"/>
        <v>545</v>
      </c>
      <c r="N98" s="35">
        <f t="shared" si="57"/>
        <v>0</v>
      </c>
      <c r="O98" s="70">
        <f t="shared" si="58"/>
        <v>100</v>
      </c>
      <c r="P98" s="71">
        <f t="shared" si="41"/>
        <v>0</v>
      </c>
      <c r="Q98" s="35">
        <f t="shared" si="42"/>
        <v>0</v>
      </c>
      <c r="R98" s="72">
        <v>1103659</v>
      </c>
      <c r="S98" s="72">
        <f t="shared" si="43"/>
        <v>3472</v>
      </c>
      <c r="T98" s="62"/>
    </row>
    <row r="99" spans="1:20" s="73" customFormat="1">
      <c r="A99" s="8"/>
      <c r="B99" s="8"/>
      <c r="C99" s="8"/>
      <c r="D99" s="45"/>
      <c r="E99" s="45"/>
      <c r="F99" s="49" t="s">
        <v>48</v>
      </c>
      <c r="G99" s="48">
        <v>12606</v>
      </c>
      <c r="H99" s="83"/>
      <c r="I99" s="83">
        <f t="shared" si="59"/>
        <v>0</v>
      </c>
      <c r="J99" s="75">
        <f t="shared" si="55"/>
        <v>0</v>
      </c>
      <c r="K99" s="35">
        <f>'1.08'!M99</f>
        <v>0</v>
      </c>
      <c r="L99" s="35"/>
      <c r="M99" s="93">
        <f t="shared" si="56"/>
        <v>0</v>
      </c>
      <c r="N99" s="35">
        <f t="shared" si="57"/>
        <v>0</v>
      </c>
      <c r="O99" s="70" t="e">
        <f t="shared" si="58"/>
        <v>#DIV/0!</v>
      </c>
      <c r="P99" s="71">
        <f t="shared" si="41"/>
        <v>0</v>
      </c>
      <c r="Q99" s="35">
        <f t="shared" si="42"/>
        <v>0</v>
      </c>
      <c r="R99" s="72">
        <v>1103660</v>
      </c>
      <c r="S99" s="72">
        <f t="shared" si="43"/>
        <v>12606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12</v>
      </c>
      <c r="G100" s="48">
        <v>9417</v>
      </c>
      <c r="H100" s="83">
        <f>1000+500</f>
        <v>1500</v>
      </c>
      <c r="I100" s="83">
        <f t="shared" si="59"/>
        <v>1500</v>
      </c>
      <c r="J100" s="75">
        <f t="shared" si="55"/>
        <v>1500</v>
      </c>
      <c r="K100" s="35">
        <f>'1.08'!M100</f>
        <v>1500</v>
      </c>
      <c r="L100" s="35"/>
      <c r="M100" s="93">
        <f t="shared" si="56"/>
        <v>1500</v>
      </c>
      <c r="N100" s="35">
        <f t="shared" si="57"/>
        <v>0</v>
      </c>
      <c r="O100" s="70">
        <f t="shared" si="58"/>
        <v>100</v>
      </c>
      <c r="P100" s="71">
        <f t="shared" si="41"/>
        <v>0</v>
      </c>
      <c r="Q100" s="35">
        <f t="shared" si="42"/>
        <v>0</v>
      </c>
      <c r="R100" s="72">
        <v>1103661</v>
      </c>
      <c r="S100" s="72">
        <f t="shared" si="43"/>
        <v>7917</v>
      </c>
      <c r="T100" s="62"/>
    </row>
    <row r="101" spans="1:20" s="73" customFormat="1">
      <c r="A101" s="8"/>
      <c r="B101" s="8"/>
      <c r="C101" s="8"/>
      <c r="D101" s="45"/>
      <c r="E101" s="45"/>
      <c r="F101" s="49" t="s">
        <v>11</v>
      </c>
      <c r="G101" s="48">
        <v>5625</v>
      </c>
      <c r="H101" s="83"/>
      <c r="I101" s="83">
        <f t="shared" si="59"/>
        <v>0</v>
      </c>
      <c r="J101" s="75">
        <f t="shared" si="55"/>
        <v>0</v>
      </c>
      <c r="K101" s="35">
        <f>'1.08'!M101</f>
        <v>0</v>
      </c>
      <c r="L101" s="35"/>
      <c r="M101" s="93">
        <f t="shared" si="56"/>
        <v>0</v>
      </c>
      <c r="N101" s="35">
        <f t="shared" si="57"/>
        <v>0</v>
      </c>
      <c r="O101" s="70" t="e">
        <f t="shared" si="58"/>
        <v>#DIV/0!</v>
      </c>
      <c r="P101" s="71">
        <f t="shared" si="41"/>
        <v>0</v>
      </c>
      <c r="Q101" s="35">
        <f t="shared" si="42"/>
        <v>0</v>
      </c>
      <c r="R101" s="72">
        <v>1103662</v>
      </c>
      <c r="S101" s="72">
        <f t="shared" si="43"/>
        <v>5625</v>
      </c>
      <c r="T101" s="62"/>
    </row>
    <row r="102" spans="1:20" s="73" customFormat="1">
      <c r="A102" s="8"/>
      <c r="B102" s="8"/>
      <c r="C102" s="8"/>
      <c r="D102" s="45"/>
      <c r="E102" s="45"/>
      <c r="F102" s="51" t="s">
        <v>67</v>
      </c>
      <c r="G102" s="82">
        <f>SUM(G103:G110)</f>
        <v>19000</v>
      </c>
      <c r="H102" s="82">
        <f t="shared" ref="H102:O102" si="60">SUM(H103:H110)</f>
        <v>19000</v>
      </c>
      <c r="I102" s="82">
        <f t="shared" si="60"/>
        <v>0</v>
      </c>
      <c r="J102" s="108">
        <f t="shared" si="60"/>
        <v>0</v>
      </c>
      <c r="K102" s="108">
        <f t="shared" si="60"/>
        <v>0</v>
      </c>
      <c r="L102" s="108">
        <f t="shared" si="60"/>
        <v>0</v>
      </c>
      <c r="M102" s="123">
        <f t="shared" si="60"/>
        <v>0</v>
      </c>
      <c r="N102" s="123">
        <f t="shared" si="60"/>
        <v>0</v>
      </c>
      <c r="O102" s="82" t="e">
        <f t="shared" si="60"/>
        <v>#DIV/0!</v>
      </c>
      <c r="P102" s="71">
        <f t="shared" si="41"/>
        <v>0</v>
      </c>
      <c r="Q102" s="35">
        <f t="shared" si="42"/>
        <v>19000</v>
      </c>
      <c r="R102" s="72">
        <v>1103654</v>
      </c>
      <c r="S102" s="72">
        <f t="shared" si="43"/>
        <v>19000</v>
      </c>
      <c r="T102" s="62"/>
    </row>
    <row r="103" spans="1:20" s="73" customFormat="1">
      <c r="A103" s="8"/>
      <c r="B103" s="8"/>
      <c r="C103" s="8"/>
      <c r="D103" s="45"/>
      <c r="E103" s="45"/>
      <c r="F103" s="47" t="s">
        <v>46</v>
      </c>
      <c r="G103" s="48"/>
      <c r="H103" s="83"/>
      <c r="I103" s="83"/>
      <c r="J103" s="75"/>
      <c r="K103" s="35"/>
      <c r="L103" s="35"/>
      <c r="M103" s="93">
        <f t="shared" ref="M103:M110" si="61">K103+L103</f>
        <v>0</v>
      </c>
      <c r="N103" s="35">
        <f t="shared" ref="N103:N110" si="62">I103-M103</f>
        <v>0</v>
      </c>
      <c r="O103" s="70" t="e">
        <f t="shared" ref="O103:O110" si="63">M103/I103*100</f>
        <v>#DIV/0!</v>
      </c>
      <c r="P103" s="71">
        <f t="shared" si="41"/>
        <v>0</v>
      </c>
      <c r="Q103" s="35">
        <f t="shared" si="42"/>
        <v>0</v>
      </c>
      <c r="R103" s="72">
        <v>1103655</v>
      </c>
      <c r="S103" s="72">
        <f t="shared" si="43"/>
        <v>0</v>
      </c>
      <c r="T103" s="62"/>
    </row>
    <row r="104" spans="1:20" s="73" customFormat="1">
      <c r="A104" s="8"/>
      <c r="B104" s="8"/>
      <c r="C104" s="8"/>
      <c r="D104" s="45"/>
      <c r="E104" s="45"/>
      <c r="F104" s="47" t="s">
        <v>8</v>
      </c>
      <c r="G104" s="48"/>
      <c r="H104" s="83"/>
      <c r="I104" s="83"/>
      <c r="J104" s="75"/>
      <c r="K104" s="35"/>
      <c r="L104" s="35"/>
      <c r="M104" s="93">
        <f t="shared" si="61"/>
        <v>0</v>
      </c>
      <c r="N104" s="35">
        <f t="shared" si="62"/>
        <v>0</v>
      </c>
      <c r="O104" s="70" t="e">
        <f t="shared" si="63"/>
        <v>#DIV/0!</v>
      </c>
      <c r="P104" s="71">
        <f t="shared" si="41"/>
        <v>0</v>
      </c>
      <c r="Q104" s="35">
        <f t="shared" si="42"/>
        <v>0</v>
      </c>
      <c r="R104" s="72">
        <v>1103656</v>
      </c>
      <c r="S104" s="72">
        <f t="shared" si="43"/>
        <v>0</v>
      </c>
      <c r="T104" s="62"/>
    </row>
    <row r="105" spans="1:20" s="73" customFormat="1">
      <c r="A105" s="8"/>
      <c r="B105" s="8"/>
      <c r="C105" s="8"/>
      <c r="D105" s="45"/>
      <c r="E105" s="45"/>
      <c r="F105" s="49" t="s">
        <v>9</v>
      </c>
      <c r="G105" s="48">
        <v>19000</v>
      </c>
      <c r="H105" s="83">
        <v>19000</v>
      </c>
      <c r="I105" s="83"/>
      <c r="J105" s="75"/>
      <c r="K105" s="35"/>
      <c r="L105" s="35"/>
      <c r="M105" s="93">
        <f t="shared" si="61"/>
        <v>0</v>
      </c>
      <c r="N105" s="35">
        <f t="shared" si="62"/>
        <v>0</v>
      </c>
      <c r="O105" s="70" t="e">
        <f t="shared" si="63"/>
        <v>#DIV/0!</v>
      </c>
      <c r="P105" s="71">
        <f t="shared" si="41"/>
        <v>0</v>
      </c>
      <c r="Q105" s="35">
        <f t="shared" si="42"/>
        <v>19000</v>
      </c>
      <c r="R105" s="72">
        <v>1103657</v>
      </c>
      <c r="S105" s="72">
        <f t="shared" si="43"/>
        <v>19000</v>
      </c>
      <c r="T105" s="62"/>
    </row>
    <row r="106" spans="1:20" s="73" customFormat="1">
      <c r="A106" s="8"/>
      <c r="B106" s="8"/>
      <c r="C106" s="8"/>
      <c r="D106" s="45"/>
      <c r="E106" s="45"/>
      <c r="F106" s="49" t="s">
        <v>10</v>
      </c>
      <c r="G106" s="48"/>
      <c r="H106" s="83"/>
      <c r="I106" s="83"/>
      <c r="J106" s="75"/>
      <c r="K106" s="35"/>
      <c r="L106" s="35"/>
      <c r="M106" s="93">
        <f t="shared" si="61"/>
        <v>0</v>
      </c>
      <c r="N106" s="35">
        <f t="shared" si="62"/>
        <v>0</v>
      </c>
      <c r="O106" s="70" t="e">
        <f t="shared" si="63"/>
        <v>#DIV/0!</v>
      </c>
      <c r="P106" s="71">
        <f t="shared" si="41"/>
        <v>0</v>
      </c>
      <c r="Q106" s="35">
        <f t="shared" si="42"/>
        <v>0</v>
      </c>
      <c r="R106" s="72">
        <v>1103658</v>
      </c>
      <c r="S106" s="72">
        <f t="shared" si="43"/>
        <v>0</v>
      </c>
      <c r="T106" s="62"/>
    </row>
    <row r="107" spans="1:20" s="73" customFormat="1">
      <c r="A107" s="8"/>
      <c r="B107" s="8"/>
      <c r="C107" s="8"/>
      <c r="D107" s="45"/>
      <c r="E107" s="45"/>
      <c r="F107" s="49" t="s">
        <v>47</v>
      </c>
      <c r="G107" s="48"/>
      <c r="H107" s="83"/>
      <c r="I107" s="83"/>
      <c r="J107" s="75"/>
      <c r="K107" s="35"/>
      <c r="L107" s="35"/>
      <c r="M107" s="93">
        <f t="shared" si="61"/>
        <v>0</v>
      </c>
      <c r="N107" s="35">
        <f t="shared" si="62"/>
        <v>0</v>
      </c>
      <c r="O107" s="70" t="e">
        <f t="shared" si="63"/>
        <v>#DIV/0!</v>
      </c>
      <c r="P107" s="71">
        <f t="shared" si="41"/>
        <v>0</v>
      </c>
      <c r="Q107" s="35">
        <f t="shared" si="42"/>
        <v>0</v>
      </c>
      <c r="R107" s="72">
        <v>1103659</v>
      </c>
      <c r="S107" s="72">
        <f t="shared" si="43"/>
        <v>0</v>
      </c>
      <c r="T107" s="62"/>
    </row>
    <row r="108" spans="1:20" s="73" customFormat="1">
      <c r="A108" s="8"/>
      <c r="B108" s="8"/>
      <c r="C108" s="8"/>
      <c r="D108" s="45"/>
      <c r="E108" s="45"/>
      <c r="F108" s="49" t="s">
        <v>48</v>
      </c>
      <c r="G108" s="48"/>
      <c r="H108" s="83"/>
      <c r="I108" s="83"/>
      <c r="J108" s="75"/>
      <c r="K108" s="35"/>
      <c r="L108" s="35"/>
      <c r="M108" s="93">
        <f t="shared" si="61"/>
        <v>0</v>
      </c>
      <c r="N108" s="35">
        <f t="shared" si="62"/>
        <v>0</v>
      </c>
      <c r="O108" s="70" t="e">
        <f t="shared" si="63"/>
        <v>#DIV/0!</v>
      </c>
      <c r="P108" s="71">
        <f t="shared" si="41"/>
        <v>0</v>
      </c>
      <c r="Q108" s="35">
        <f t="shared" si="42"/>
        <v>0</v>
      </c>
      <c r="R108" s="72">
        <v>1103660</v>
      </c>
      <c r="S108" s="72">
        <f t="shared" si="43"/>
        <v>0</v>
      </c>
      <c r="T108" s="62"/>
    </row>
    <row r="109" spans="1:20" s="73" customFormat="1">
      <c r="A109" s="8"/>
      <c r="B109" s="8"/>
      <c r="C109" s="8"/>
      <c r="D109" s="45"/>
      <c r="E109" s="45"/>
      <c r="F109" s="49" t="s">
        <v>12</v>
      </c>
      <c r="G109" s="48"/>
      <c r="H109" s="83"/>
      <c r="I109" s="83"/>
      <c r="J109" s="75"/>
      <c r="K109" s="35"/>
      <c r="L109" s="35"/>
      <c r="M109" s="93">
        <f t="shared" si="61"/>
        <v>0</v>
      </c>
      <c r="N109" s="35">
        <f t="shared" si="62"/>
        <v>0</v>
      </c>
      <c r="O109" s="70" t="e">
        <f t="shared" si="63"/>
        <v>#DIV/0!</v>
      </c>
      <c r="P109" s="71">
        <f t="shared" si="41"/>
        <v>0</v>
      </c>
      <c r="Q109" s="35">
        <f t="shared" si="42"/>
        <v>0</v>
      </c>
      <c r="R109" s="72">
        <v>1103661</v>
      </c>
      <c r="S109" s="72">
        <f t="shared" si="43"/>
        <v>0</v>
      </c>
      <c r="T109" s="62"/>
    </row>
    <row r="110" spans="1:20" s="73" customFormat="1">
      <c r="A110" s="8"/>
      <c r="B110" s="8"/>
      <c r="C110" s="8"/>
      <c r="D110" s="45"/>
      <c r="E110" s="45"/>
      <c r="F110" s="49" t="s">
        <v>11</v>
      </c>
      <c r="G110" s="48"/>
      <c r="H110" s="83"/>
      <c r="I110" s="83"/>
      <c r="J110" s="75"/>
      <c r="K110" s="35"/>
      <c r="L110" s="35"/>
      <c r="M110" s="93">
        <f t="shared" si="61"/>
        <v>0</v>
      </c>
      <c r="N110" s="35">
        <f t="shared" si="62"/>
        <v>0</v>
      </c>
      <c r="O110" s="70" t="e">
        <f t="shared" si="63"/>
        <v>#DIV/0!</v>
      </c>
      <c r="P110" s="71">
        <f t="shared" si="41"/>
        <v>0</v>
      </c>
      <c r="Q110" s="35">
        <f t="shared" si="42"/>
        <v>0</v>
      </c>
      <c r="R110" s="72">
        <v>1103662</v>
      </c>
      <c r="S110" s="72">
        <f t="shared" si="43"/>
        <v>0</v>
      </c>
      <c r="T110" s="62"/>
    </row>
    <row r="111" spans="1:20" s="73" customFormat="1" ht="25.5">
      <c r="A111" s="9"/>
      <c r="B111" s="9"/>
      <c r="C111" s="8" t="s">
        <v>13</v>
      </c>
      <c r="D111" s="69"/>
      <c r="E111" s="69"/>
      <c r="F111" s="120" t="s">
        <v>113</v>
      </c>
      <c r="G111" s="23">
        <f>G112</f>
        <v>200616</v>
      </c>
      <c r="H111" s="23">
        <f t="shared" ref="H111:M111" si="64">H112</f>
        <v>107835</v>
      </c>
      <c r="I111" s="23">
        <f t="shared" si="64"/>
        <v>107835</v>
      </c>
      <c r="J111" s="109">
        <f t="shared" si="64"/>
        <v>107835</v>
      </c>
      <c r="K111" s="35">
        <f>'1.02.'!M92</f>
        <v>0</v>
      </c>
      <c r="L111" s="85">
        <f t="shared" si="64"/>
        <v>0</v>
      </c>
      <c r="M111" s="102">
        <f t="shared" si="64"/>
        <v>107835</v>
      </c>
      <c r="N111" s="102">
        <f>N112</f>
        <v>0</v>
      </c>
      <c r="O111" s="68">
        <f t="shared" si="52"/>
        <v>100</v>
      </c>
      <c r="P111" s="71">
        <f t="shared" si="41"/>
        <v>0</v>
      </c>
      <c r="Q111" s="35">
        <f t="shared" si="42"/>
        <v>0</v>
      </c>
      <c r="R111" s="72">
        <v>1103663</v>
      </c>
      <c r="S111" s="72">
        <f t="shared" si="43"/>
        <v>92781</v>
      </c>
      <c r="T111" s="62">
        <f t="shared" ref="T111:T158" si="65">G111-J111</f>
        <v>92781</v>
      </c>
    </row>
    <row r="112" spans="1:20">
      <c r="A112" s="9"/>
      <c r="B112" s="9"/>
      <c r="C112" s="9"/>
      <c r="D112" s="21" t="s">
        <v>7</v>
      </c>
      <c r="E112" s="69"/>
      <c r="F112" s="122" t="s">
        <v>85</v>
      </c>
      <c r="G112" s="56">
        <f>G113+G114</f>
        <v>200616</v>
      </c>
      <c r="H112" s="56">
        <f t="shared" ref="H112:N112" si="66">H113+H114</f>
        <v>107835</v>
      </c>
      <c r="I112" s="56">
        <f t="shared" si="66"/>
        <v>107835</v>
      </c>
      <c r="J112" s="56">
        <f t="shared" si="66"/>
        <v>107835</v>
      </c>
      <c r="K112" s="56">
        <f t="shared" si="66"/>
        <v>107835</v>
      </c>
      <c r="L112" s="56">
        <f t="shared" si="66"/>
        <v>0</v>
      </c>
      <c r="M112" s="56">
        <f t="shared" si="66"/>
        <v>107835</v>
      </c>
      <c r="N112" s="56">
        <f t="shared" si="66"/>
        <v>0</v>
      </c>
      <c r="O112" s="70">
        <f t="shared" si="52"/>
        <v>100</v>
      </c>
      <c r="P112" s="71">
        <f t="shared" si="41"/>
        <v>0</v>
      </c>
      <c r="Q112" s="35">
        <f t="shared" si="42"/>
        <v>0</v>
      </c>
      <c r="R112" s="72">
        <v>1103664</v>
      </c>
      <c r="S112" s="72">
        <f t="shared" si="43"/>
        <v>92781</v>
      </c>
      <c r="T112" s="62">
        <f t="shared" si="65"/>
        <v>92781</v>
      </c>
    </row>
    <row r="113" spans="1:20">
      <c r="A113" s="9"/>
      <c r="B113" s="9"/>
      <c r="C113" s="9"/>
      <c r="D113" s="69"/>
      <c r="E113" s="69">
        <v>159</v>
      </c>
      <c r="F113" s="122" t="s">
        <v>84</v>
      </c>
      <c r="G113" s="26">
        <v>200616</v>
      </c>
      <c r="H113" s="37">
        <v>107835</v>
      </c>
      <c r="I113" s="37">
        <v>107835</v>
      </c>
      <c r="J113" s="110">
        <v>107835</v>
      </c>
      <c r="K113" s="35">
        <f>'1.07. '!M104</f>
        <v>107835</v>
      </c>
      <c r="L113" s="80"/>
      <c r="M113" s="93">
        <f>K113+L113</f>
        <v>107835</v>
      </c>
      <c r="N113" s="93">
        <f>I113-M113</f>
        <v>0</v>
      </c>
      <c r="O113" s="70">
        <f t="shared" si="52"/>
        <v>100</v>
      </c>
      <c r="P113" s="71">
        <f t="shared" si="41"/>
        <v>0</v>
      </c>
      <c r="Q113" s="35">
        <f t="shared" si="42"/>
        <v>0</v>
      </c>
      <c r="R113" s="72">
        <v>1103665</v>
      </c>
      <c r="S113" s="72">
        <f t="shared" si="43"/>
        <v>92781</v>
      </c>
      <c r="T113" s="62">
        <f t="shared" si="65"/>
        <v>92781</v>
      </c>
    </row>
    <row r="114" spans="1:20" hidden="1">
      <c r="A114" s="9"/>
      <c r="B114" s="9"/>
      <c r="C114" s="9"/>
      <c r="D114" s="69"/>
      <c r="E114" s="69">
        <v>322</v>
      </c>
      <c r="F114" s="78" t="s">
        <v>154</v>
      </c>
      <c r="G114" s="26"/>
      <c r="H114" s="37"/>
      <c r="I114" s="37"/>
      <c r="J114" s="110">
        <f>M114</f>
        <v>0</v>
      </c>
      <c r="K114" s="35">
        <f>'1.07. '!M105</f>
        <v>0</v>
      </c>
      <c r="L114" s="110"/>
      <c r="M114" s="93">
        <f>K114+L114</f>
        <v>0</v>
      </c>
      <c r="N114" s="93">
        <f>I114-M114</f>
        <v>0</v>
      </c>
      <c r="O114" s="70" t="e">
        <f t="shared" si="52"/>
        <v>#DIV/0!</v>
      </c>
      <c r="P114" s="71">
        <f t="shared" si="41"/>
        <v>0</v>
      </c>
      <c r="Q114" s="35">
        <f t="shared" si="42"/>
        <v>0</v>
      </c>
      <c r="R114" s="72">
        <v>1103666</v>
      </c>
      <c r="S114" s="72">
        <f t="shared" si="43"/>
        <v>0</v>
      </c>
    </row>
    <row r="115" spans="1:20" ht="38.25">
      <c r="A115" s="9"/>
      <c r="B115" s="9"/>
      <c r="C115" s="17" t="s">
        <v>41</v>
      </c>
      <c r="D115" s="69"/>
      <c r="E115" s="69"/>
      <c r="F115" s="79" t="s">
        <v>128</v>
      </c>
      <c r="G115" s="74">
        <f>G116</f>
        <v>20000</v>
      </c>
      <c r="H115" s="74">
        <f t="shared" ref="H115:O116" si="67">H116</f>
        <v>13390</v>
      </c>
      <c r="I115" s="74">
        <f t="shared" si="67"/>
        <v>7475.7</v>
      </c>
      <c r="J115" s="96">
        <f t="shared" si="67"/>
        <v>13390</v>
      </c>
      <c r="K115" s="35">
        <f>'1.02.'!M96</f>
        <v>0</v>
      </c>
      <c r="L115" s="89">
        <f t="shared" si="67"/>
        <v>990.40301999999997</v>
      </c>
      <c r="M115" s="89">
        <f t="shared" si="67"/>
        <v>7475.1030199999996</v>
      </c>
      <c r="N115" s="89">
        <f t="shared" si="67"/>
        <v>0.59698000000025786</v>
      </c>
      <c r="O115" s="74">
        <f t="shared" si="67"/>
        <v>99.992014393300948</v>
      </c>
      <c r="P115" s="71">
        <f t="shared" si="41"/>
        <v>5914.8969800000004</v>
      </c>
      <c r="Q115" s="35">
        <f t="shared" si="42"/>
        <v>0</v>
      </c>
      <c r="R115" s="72">
        <v>1103667</v>
      </c>
      <c r="S115" s="72">
        <f t="shared" si="43"/>
        <v>12524.896980000001</v>
      </c>
      <c r="T115" s="62">
        <f>G115-J115</f>
        <v>6610</v>
      </c>
    </row>
    <row r="116" spans="1:20" s="73" customFormat="1">
      <c r="A116" s="8"/>
      <c r="B116" s="8"/>
      <c r="C116" s="8"/>
      <c r="D116" s="17" t="s">
        <v>35</v>
      </c>
      <c r="E116" s="21"/>
      <c r="F116" s="79"/>
      <c r="G116" s="88">
        <f>G117</f>
        <v>20000</v>
      </c>
      <c r="H116" s="74">
        <f t="shared" si="67"/>
        <v>13390</v>
      </c>
      <c r="I116" s="74">
        <f t="shared" si="67"/>
        <v>7475.7</v>
      </c>
      <c r="J116" s="96">
        <f t="shared" si="67"/>
        <v>13390</v>
      </c>
      <c r="K116" s="35">
        <f>'1.02.'!M97</f>
        <v>0</v>
      </c>
      <c r="L116" s="89">
        <f t="shared" si="67"/>
        <v>990.40301999999997</v>
      </c>
      <c r="M116" s="89">
        <f t="shared" si="67"/>
        <v>7475.1030199999996</v>
      </c>
      <c r="N116" s="89">
        <f t="shared" si="67"/>
        <v>0.59698000000025786</v>
      </c>
      <c r="O116" s="68">
        <f>M116/I116*100</f>
        <v>99.992014393300948</v>
      </c>
      <c r="P116" s="71">
        <f t="shared" si="41"/>
        <v>5914.8969800000004</v>
      </c>
      <c r="Q116" s="35">
        <f t="shared" si="42"/>
        <v>0</v>
      </c>
      <c r="R116" s="72">
        <v>1103668</v>
      </c>
      <c r="S116" s="72">
        <f t="shared" si="43"/>
        <v>12524.896980000001</v>
      </c>
      <c r="T116" s="62">
        <f>G116-J116</f>
        <v>6610</v>
      </c>
    </row>
    <row r="117" spans="1:20">
      <c r="A117" s="9"/>
      <c r="B117" s="9"/>
      <c r="C117" s="9"/>
      <c r="D117" s="69"/>
      <c r="E117" s="69">
        <v>159</v>
      </c>
      <c r="F117" s="78" t="s">
        <v>155</v>
      </c>
      <c r="G117" s="41">
        <v>20000</v>
      </c>
      <c r="H117" s="72">
        <v>13390</v>
      </c>
      <c r="I117" s="72">
        <v>7475.7</v>
      </c>
      <c r="J117" s="94">
        <v>13390</v>
      </c>
      <c r="K117" s="35">
        <f>'1.08'!M117</f>
        <v>6484.7</v>
      </c>
      <c r="L117" s="90">
        <v>990.40301999999997</v>
      </c>
      <c r="M117" s="90">
        <f>K117+L117</f>
        <v>7475.1030199999996</v>
      </c>
      <c r="N117" s="90">
        <f>I117-M117</f>
        <v>0.59698000000025786</v>
      </c>
      <c r="O117" s="70">
        <f>M117/I117*100</f>
        <v>99.992014393300948</v>
      </c>
      <c r="P117" s="71">
        <f t="shared" si="41"/>
        <v>5914.8969800000004</v>
      </c>
      <c r="Q117" s="35">
        <f t="shared" si="42"/>
        <v>0</v>
      </c>
      <c r="R117" s="72">
        <v>1103669</v>
      </c>
      <c r="S117" s="72">
        <f t="shared" si="43"/>
        <v>12524.896980000001</v>
      </c>
      <c r="T117" s="62">
        <f>G117-J117</f>
        <v>6610</v>
      </c>
    </row>
    <row r="118" spans="1:20" s="73" customFormat="1">
      <c r="A118" s="8"/>
      <c r="B118" s="8" t="s">
        <v>24</v>
      </c>
      <c r="C118" s="8"/>
      <c r="D118" s="21"/>
      <c r="E118" s="21"/>
      <c r="F118" s="139" t="s">
        <v>114</v>
      </c>
      <c r="G118" s="59">
        <f t="shared" ref="G118:N119" si="68">G119</f>
        <v>656346</v>
      </c>
      <c r="H118" s="59">
        <f t="shared" si="68"/>
        <v>426095</v>
      </c>
      <c r="I118" s="59">
        <f t="shared" si="68"/>
        <v>398735</v>
      </c>
      <c r="J118" s="29">
        <f t="shared" si="68"/>
        <v>392809.39736000006</v>
      </c>
      <c r="K118" s="29">
        <f>'1.02.'!M99</f>
        <v>46251.970999999998</v>
      </c>
      <c r="L118" s="29">
        <f t="shared" si="68"/>
        <v>37866.105380000001</v>
      </c>
      <c r="M118" s="29">
        <f t="shared" si="68"/>
        <v>373755.47635999997</v>
      </c>
      <c r="N118" s="29">
        <f t="shared" si="68"/>
        <v>24979.523640000032</v>
      </c>
      <c r="O118" s="68">
        <f t="shared" si="52"/>
        <v>93.73530699838237</v>
      </c>
      <c r="P118" s="71">
        <f t="shared" si="41"/>
        <v>19053.921000000089</v>
      </c>
      <c r="Q118" s="35">
        <f t="shared" si="42"/>
        <v>33285.602639999939</v>
      </c>
      <c r="R118" s="72">
        <v>1103670</v>
      </c>
      <c r="S118" s="72">
        <f t="shared" si="43"/>
        <v>282590.52364000003</v>
      </c>
      <c r="T118" s="62">
        <f t="shared" si="65"/>
        <v>263536.60263999994</v>
      </c>
    </row>
    <row r="119" spans="1:20" ht="63.75">
      <c r="A119" s="8"/>
      <c r="B119" s="8"/>
      <c r="C119" s="17" t="s">
        <v>7</v>
      </c>
      <c r="D119" s="17"/>
      <c r="E119" s="21"/>
      <c r="F119" s="139" t="s">
        <v>115</v>
      </c>
      <c r="G119" s="59">
        <f>G120</f>
        <v>656346</v>
      </c>
      <c r="H119" s="59">
        <f t="shared" si="68"/>
        <v>426095</v>
      </c>
      <c r="I119" s="59">
        <f t="shared" si="68"/>
        <v>398735</v>
      </c>
      <c r="J119" s="29">
        <f t="shared" si="68"/>
        <v>392809.39736000006</v>
      </c>
      <c r="K119" s="29">
        <f>'1.02.'!M100</f>
        <v>46251.970999999998</v>
      </c>
      <c r="L119" s="29">
        <f t="shared" si="68"/>
        <v>37866.105380000001</v>
      </c>
      <c r="M119" s="29">
        <f t="shared" si="68"/>
        <v>373755.47635999997</v>
      </c>
      <c r="N119" s="29">
        <f t="shared" si="68"/>
        <v>24979.523640000032</v>
      </c>
      <c r="O119" s="68">
        <f t="shared" si="52"/>
        <v>93.73530699838237</v>
      </c>
      <c r="P119" s="29">
        <f t="shared" si="41"/>
        <v>19053.921000000089</v>
      </c>
      <c r="Q119" s="29">
        <f t="shared" si="42"/>
        <v>33285.602639999939</v>
      </c>
      <c r="R119" s="74">
        <v>1103671</v>
      </c>
      <c r="S119" s="74">
        <f t="shared" si="43"/>
        <v>282590.52364000003</v>
      </c>
      <c r="T119" s="62">
        <f t="shared" si="65"/>
        <v>263536.60263999994</v>
      </c>
    </row>
    <row r="120" spans="1:20">
      <c r="A120" s="8"/>
      <c r="B120" s="8"/>
      <c r="C120" s="17"/>
      <c r="D120" s="17" t="s">
        <v>7</v>
      </c>
      <c r="E120" s="10"/>
      <c r="F120" s="140" t="s">
        <v>85</v>
      </c>
      <c r="G120" s="33">
        <f>SUM(G121:G138)</f>
        <v>656346</v>
      </c>
      <c r="H120" s="33">
        <f t="shared" ref="H120:N120" si="69">SUM(H121:H138)</f>
        <v>426095</v>
      </c>
      <c r="I120" s="33">
        <f t="shared" si="69"/>
        <v>398735</v>
      </c>
      <c r="J120" s="29">
        <f t="shared" si="69"/>
        <v>392809.39736000006</v>
      </c>
      <c r="K120" s="29">
        <f t="shared" si="69"/>
        <v>335889.37097999995</v>
      </c>
      <c r="L120" s="29">
        <f t="shared" si="69"/>
        <v>37866.105380000001</v>
      </c>
      <c r="M120" s="29">
        <f t="shared" si="69"/>
        <v>373755.47635999997</v>
      </c>
      <c r="N120" s="29">
        <f t="shared" si="69"/>
        <v>24979.523640000032</v>
      </c>
      <c r="O120" s="68">
        <f t="shared" si="52"/>
        <v>93.73530699838237</v>
      </c>
      <c r="P120" s="71">
        <f t="shared" si="41"/>
        <v>19053.921000000089</v>
      </c>
      <c r="Q120" s="35">
        <f t="shared" si="42"/>
        <v>33285.602639999939</v>
      </c>
      <c r="R120" s="72">
        <v>1103672</v>
      </c>
      <c r="S120" s="72">
        <f t="shared" si="43"/>
        <v>282590.52364000003</v>
      </c>
      <c r="T120" s="62">
        <f t="shared" si="65"/>
        <v>263536.60263999994</v>
      </c>
    </row>
    <row r="121" spans="1:20">
      <c r="A121" s="8"/>
      <c r="B121" s="8"/>
      <c r="C121" s="8"/>
      <c r="D121" s="21"/>
      <c r="E121" s="69">
        <v>111</v>
      </c>
      <c r="F121" s="136" t="s">
        <v>86</v>
      </c>
      <c r="G121" s="26">
        <v>408393</v>
      </c>
      <c r="H121" s="37">
        <v>257000</v>
      </c>
      <c r="I121" s="37">
        <v>257000</v>
      </c>
      <c r="J121" s="75">
        <f>M121</f>
        <v>240834.26299999998</v>
      </c>
      <c r="K121" s="35">
        <f>'1.08'!M121</f>
        <v>212251.21</v>
      </c>
      <c r="L121" s="35">
        <v>28583.053</v>
      </c>
      <c r="M121" s="93">
        <f t="shared" ref="M121:M203" si="70">K121+L121</f>
        <v>240834.26299999998</v>
      </c>
      <c r="N121" s="93">
        <f t="shared" ref="N121:N203" si="71">I121-M121</f>
        <v>16165.737000000023</v>
      </c>
      <c r="O121" s="70">
        <f t="shared" si="52"/>
        <v>93.709829961089483</v>
      </c>
      <c r="P121" s="71">
        <f t="shared" si="41"/>
        <v>0</v>
      </c>
      <c r="Q121" s="35">
        <f t="shared" si="42"/>
        <v>16165.737000000023</v>
      </c>
      <c r="R121" s="72">
        <v>1103673</v>
      </c>
      <c r="S121" s="72">
        <f t="shared" si="43"/>
        <v>167558.73700000002</v>
      </c>
      <c r="T121" s="62">
        <f t="shared" si="65"/>
        <v>167558.73700000002</v>
      </c>
    </row>
    <row r="122" spans="1:20">
      <c r="A122" s="8"/>
      <c r="B122" s="8"/>
      <c r="C122" s="8"/>
      <c r="D122" s="21"/>
      <c r="E122" s="69">
        <v>112</v>
      </c>
      <c r="F122" s="136" t="s">
        <v>87</v>
      </c>
      <c r="G122" s="26"/>
      <c r="H122" s="37"/>
      <c r="I122" s="37"/>
      <c r="J122" s="75">
        <f t="shared" ref="J122:J128" si="72">M122</f>
        <v>0</v>
      </c>
      <c r="K122" s="35">
        <f>'1.08'!M122</f>
        <v>0</v>
      </c>
      <c r="L122" s="35"/>
      <c r="M122" s="93">
        <f t="shared" si="70"/>
        <v>0</v>
      </c>
      <c r="N122" s="93">
        <f t="shared" si="71"/>
        <v>0</v>
      </c>
      <c r="O122" s="70" t="e">
        <f t="shared" si="52"/>
        <v>#DIV/0!</v>
      </c>
      <c r="P122" s="71">
        <f t="shared" si="41"/>
        <v>0</v>
      </c>
      <c r="Q122" s="35">
        <f t="shared" si="42"/>
        <v>0</v>
      </c>
      <c r="R122" s="72">
        <v>1103674</v>
      </c>
      <c r="S122" s="72">
        <f t="shared" si="43"/>
        <v>0</v>
      </c>
    </row>
    <row r="123" spans="1:20">
      <c r="A123" s="8"/>
      <c r="B123" s="8"/>
      <c r="C123" s="8"/>
      <c r="D123" s="21"/>
      <c r="E123" s="76">
        <v>113</v>
      </c>
      <c r="F123" s="136" t="s">
        <v>88</v>
      </c>
      <c r="G123" s="26">
        <v>14739</v>
      </c>
      <c r="H123" s="37">
        <v>9361</v>
      </c>
      <c r="I123" s="37">
        <v>9361</v>
      </c>
      <c r="J123" s="75">
        <f t="shared" si="72"/>
        <v>7481.1920000000009</v>
      </c>
      <c r="K123" s="35">
        <f>'1.08'!M123</f>
        <v>5928.4530000000004</v>
      </c>
      <c r="L123" s="35">
        <v>1552.739</v>
      </c>
      <c r="M123" s="93">
        <f t="shared" si="70"/>
        <v>7481.1920000000009</v>
      </c>
      <c r="N123" s="93">
        <f t="shared" si="71"/>
        <v>1879.8079999999991</v>
      </c>
      <c r="O123" s="70">
        <f t="shared" si="52"/>
        <v>79.918726631770127</v>
      </c>
      <c r="P123" s="71">
        <f t="shared" si="41"/>
        <v>0</v>
      </c>
      <c r="Q123" s="35">
        <f t="shared" si="42"/>
        <v>1879.8079999999991</v>
      </c>
      <c r="R123" s="72">
        <v>1103675</v>
      </c>
      <c r="S123" s="72">
        <f t="shared" si="43"/>
        <v>7257.8079999999991</v>
      </c>
      <c r="T123" s="62">
        <f t="shared" si="65"/>
        <v>7257.8079999999991</v>
      </c>
    </row>
    <row r="124" spans="1:20">
      <c r="A124" s="8"/>
      <c r="B124" s="8"/>
      <c r="C124" s="8"/>
      <c r="D124" s="21"/>
      <c r="E124" s="69">
        <v>116</v>
      </c>
      <c r="F124" s="136" t="s">
        <v>89</v>
      </c>
      <c r="G124" s="26">
        <v>9468</v>
      </c>
      <c r="H124" s="37">
        <v>2605</v>
      </c>
      <c r="I124" s="37">
        <v>2605</v>
      </c>
      <c r="J124" s="75">
        <f t="shared" si="72"/>
        <v>2605</v>
      </c>
      <c r="K124" s="35">
        <f>'1.08'!M124</f>
        <v>2228.8670000000002</v>
      </c>
      <c r="L124" s="35">
        <v>376.13299999999998</v>
      </c>
      <c r="M124" s="93">
        <f>K124+L124</f>
        <v>2605</v>
      </c>
      <c r="N124" s="93">
        <f>I124-M124</f>
        <v>0</v>
      </c>
      <c r="O124" s="70">
        <f>M124/I124*100</f>
        <v>100</v>
      </c>
      <c r="P124" s="71">
        <f t="shared" si="41"/>
        <v>0</v>
      </c>
      <c r="Q124" s="35">
        <f t="shared" si="42"/>
        <v>0</v>
      </c>
      <c r="R124" s="72">
        <v>1103676</v>
      </c>
      <c r="S124" s="72">
        <f t="shared" si="43"/>
        <v>6863</v>
      </c>
    </row>
    <row r="125" spans="1:20">
      <c r="A125" s="8"/>
      <c r="B125" s="8"/>
      <c r="C125" s="8"/>
      <c r="D125" s="21"/>
      <c r="E125" s="69">
        <v>121</v>
      </c>
      <c r="F125" s="136" t="s">
        <v>90</v>
      </c>
      <c r="G125" s="26">
        <v>19586</v>
      </c>
      <c r="H125" s="37">
        <v>11200</v>
      </c>
      <c r="I125" s="37">
        <v>11200</v>
      </c>
      <c r="J125" s="75">
        <f t="shared" si="72"/>
        <v>11200</v>
      </c>
      <c r="K125" s="35">
        <f>'1.08'!M125</f>
        <v>9800</v>
      </c>
      <c r="L125" s="35">
        <v>1400</v>
      </c>
      <c r="M125" s="93">
        <f t="shared" si="70"/>
        <v>11200</v>
      </c>
      <c r="N125" s="93">
        <f t="shared" si="71"/>
        <v>0</v>
      </c>
      <c r="O125" s="70">
        <f t="shared" si="52"/>
        <v>100</v>
      </c>
      <c r="P125" s="71">
        <f t="shared" si="41"/>
        <v>0</v>
      </c>
      <c r="Q125" s="35">
        <f t="shared" si="42"/>
        <v>0</v>
      </c>
      <c r="R125" s="72">
        <v>1103677</v>
      </c>
      <c r="S125" s="72">
        <f t="shared" si="43"/>
        <v>8386</v>
      </c>
      <c r="T125" s="62">
        <f t="shared" si="65"/>
        <v>8386</v>
      </c>
    </row>
    <row r="126" spans="1:20">
      <c r="A126" s="8"/>
      <c r="B126" s="8"/>
      <c r="C126" s="8"/>
      <c r="D126" s="21"/>
      <c r="E126" s="69">
        <v>122</v>
      </c>
      <c r="F126" s="136" t="s">
        <v>91</v>
      </c>
      <c r="G126" s="26">
        <v>17015</v>
      </c>
      <c r="H126" s="37">
        <v>9760</v>
      </c>
      <c r="I126" s="37">
        <v>9760</v>
      </c>
      <c r="J126" s="75">
        <f t="shared" si="72"/>
        <v>8342.2889999999989</v>
      </c>
      <c r="K126" s="35">
        <f>'1.08'!M126</f>
        <v>8325.8189999999995</v>
      </c>
      <c r="L126" s="35">
        <v>16.47</v>
      </c>
      <c r="M126" s="93">
        <f>K126+L126</f>
        <v>8342.2889999999989</v>
      </c>
      <c r="N126" s="93">
        <f t="shared" si="71"/>
        <v>1417.7110000000011</v>
      </c>
      <c r="O126" s="70">
        <f t="shared" si="52"/>
        <v>85.474272540983591</v>
      </c>
      <c r="P126" s="71">
        <f t="shared" si="41"/>
        <v>0</v>
      </c>
      <c r="Q126" s="35">
        <f t="shared" si="42"/>
        <v>1417.7110000000011</v>
      </c>
      <c r="R126" s="72">
        <v>1103678</v>
      </c>
      <c r="S126" s="72">
        <f t="shared" si="43"/>
        <v>8672.7110000000011</v>
      </c>
      <c r="T126" s="62">
        <f t="shared" si="65"/>
        <v>8672.7110000000011</v>
      </c>
    </row>
    <row r="127" spans="1:20">
      <c r="A127" s="8"/>
      <c r="B127" s="8"/>
      <c r="C127" s="8"/>
      <c r="D127" s="21"/>
      <c r="E127" s="69">
        <v>123</v>
      </c>
      <c r="F127" s="136" t="s">
        <v>92</v>
      </c>
      <c r="G127" s="26">
        <v>195</v>
      </c>
      <c r="H127" s="37">
        <v>96</v>
      </c>
      <c r="I127" s="37">
        <v>96</v>
      </c>
      <c r="J127" s="75">
        <f t="shared" si="72"/>
        <v>95.31</v>
      </c>
      <c r="K127" s="35">
        <f>'1.08'!M127</f>
        <v>95.31</v>
      </c>
      <c r="L127" s="35"/>
      <c r="M127" s="93">
        <f t="shared" si="70"/>
        <v>95.31</v>
      </c>
      <c r="N127" s="93">
        <f t="shared" si="71"/>
        <v>0.68999999999999773</v>
      </c>
      <c r="O127" s="70">
        <f t="shared" si="52"/>
        <v>99.28125</v>
      </c>
      <c r="P127" s="71">
        <f t="shared" si="41"/>
        <v>0</v>
      </c>
      <c r="Q127" s="35">
        <f t="shared" si="42"/>
        <v>0.68999999999999773</v>
      </c>
      <c r="R127" s="72">
        <v>1103679</v>
      </c>
      <c r="S127" s="72">
        <f t="shared" si="43"/>
        <v>99.69</v>
      </c>
      <c r="T127" s="62">
        <f t="shared" si="65"/>
        <v>99.69</v>
      </c>
    </row>
    <row r="128" spans="1:20">
      <c r="A128" s="9"/>
      <c r="B128" s="8"/>
      <c r="C128" s="8"/>
      <c r="D128" s="21"/>
      <c r="E128" s="69">
        <v>124</v>
      </c>
      <c r="F128" s="136" t="s">
        <v>93</v>
      </c>
      <c r="G128" s="26">
        <v>11343</v>
      </c>
      <c r="H128" s="37">
        <v>6400</v>
      </c>
      <c r="I128" s="37">
        <v>6400</v>
      </c>
      <c r="J128" s="75">
        <f t="shared" si="72"/>
        <v>5132.12</v>
      </c>
      <c r="K128" s="35">
        <f>'1.08'!M128</f>
        <v>5132.12</v>
      </c>
      <c r="L128" s="35"/>
      <c r="M128" s="93">
        <f t="shared" si="70"/>
        <v>5132.12</v>
      </c>
      <c r="N128" s="93">
        <f t="shared" si="71"/>
        <v>1267.8800000000001</v>
      </c>
      <c r="O128" s="70">
        <f t="shared" si="52"/>
        <v>80.189374999999998</v>
      </c>
      <c r="P128" s="71">
        <f t="shared" si="41"/>
        <v>0</v>
      </c>
      <c r="Q128" s="35">
        <f t="shared" si="42"/>
        <v>1267.8800000000001</v>
      </c>
      <c r="R128" s="72">
        <v>1103680</v>
      </c>
      <c r="S128" s="72">
        <f t="shared" si="43"/>
        <v>6210.88</v>
      </c>
      <c r="T128" s="62">
        <f t="shared" si="65"/>
        <v>6210.88</v>
      </c>
    </row>
    <row r="129" spans="1:20" s="73" customFormat="1">
      <c r="A129" s="9"/>
      <c r="B129" s="8"/>
      <c r="C129" s="8"/>
      <c r="D129" s="21"/>
      <c r="E129" s="69">
        <v>141</v>
      </c>
      <c r="F129" s="136" t="s">
        <v>116</v>
      </c>
      <c r="G129" s="26">
        <f>44952-157</f>
        <v>44795</v>
      </c>
      <c r="H129" s="37">
        <v>44795</v>
      </c>
      <c r="I129" s="37">
        <v>24194</v>
      </c>
      <c r="J129" s="75">
        <v>36350.751149999996</v>
      </c>
      <c r="K129" s="35">
        <f>'1.08'!M129</f>
        <v>18166.695569999996</v>
      </c>
      <c r="L129" s="35">
        <v>2221.3256700000002</v>
      </c>
      <c r="M129" s="93">
        <f t="shared" si="70"/>
        <v>20388.021239999995</v>
      </c>
      <c r="N129" s="93">
        <f t="shared" si="71"/>
        <v>3805.9787600000054</v>
      </c>
      <c r="O129" s="70">
        <f t="shared" si="52"/>
        <v>84.26891477225756</v>
      </c>
      <c r="P129" s="71">
        <f t="shared" si="41"/>
        <v>15962.729910000002</v>
      </c>
      <c r="Q129" s="35">
        <f t="shared" si="42"/>
        <v>8444.2488500000036</v>
      </c>
      <c r="R129" s="72">
        <v>1103681</v>
      </c>
      <c r="S129" s="72">
        <f t="shared" si="43"/>
        <v>24406.978760000005</v>
      </c>
      <c r="T129" s="62">
        <f t="shared" si="65"/>
        <v>8444.2488500000036</v>
      </c>
    </row>
    <row r="130" spans="1:20">
      <c r="A130" s="9"/>
      <c r="B130" s="8"/>
      <c r="C130" s="8"/>
      <c r="D130" s="21"/>
      <c r="E130" s="69">
        <v>144</v>
      </c>
      <c r="F130" s="136" t="s">
        <v>97</v>
      </c>
      <c r="G130" s="26">
        <v>836</v>
      </c>
      <c r="H130" s="37">
        <v>836</v>
      </c>
      <c r="I130" s="37">
        <v>836</v>
      </c>
      <c r="J130" s="75">
        <v>835.96190999999999</v>
      </c>
      <c r="K130" s="35">
        <f>'1.08'!M130</f>
        <v>835.96190999999999</v>
      </c>
      <c r="L130" s="35"/>
      <c r="M130" s="93">
        <f t="shared" si="70"/>
        <v>835.96190999999999</v>
      </c>
      <c r="N130" s="93">
        <f t="shared" si="71"/>
        <v>3.8090000000011059E-2</v>
      </c>
      <c r="O130" s="70">
        <f t="shared" si="52"/>
        <v>99.995443779904306</v>
      </c>
      <c r="P130" s="71">
        <f t="shared" si="41"/>
        <v>0</v>
      </c>
      <c r="Q130" s="35">
        <f t="shared" si="42"/>
        <v>3.8090000000011059E-2</v>
      </c>
      <c r="R130" s="72">
        <v>1103682</v>
      </c>
      <c r="S130" s="72">
        <f t="shared" si="43"/>
        <v>3.8090000000011059E-2</v>
      </c>
      <c r="T130" s="62">
        <f t="shared" si="65"/>
        <v>3.8090000000011059E-2</v>
      </c>
    </row>
    <row r="131" spans="1:20">
      <c r="A131" s="9"/>
      <c r="B131" s="8"/>
      <c r="C131" s="8"/>
      <c r="D131" s="21"/>
      <c r="E131" s="69">
        <v>149</v>
      </c>
      <c r="F131" s="136" t="s">
        <v>98</v>
      </c>
      <c r="G131" s="26">
        <f>5652+157+428</f>
        <v>6237</v>
      </c>
      <c r="H131" s="37">
        <v>6237</v>
      </c>
      <c r="I131" s="37">
        <v>6237</v>
      </c>
      <c r="J131" s="75">
        <f>M131</f>
        <v>6225.5804900000003</v>
      </c>
      <c r="K131" s="35">
        <f>'1.08'!M131</f>
        <v>6083.6804900000006</v>
      </c>
      <c r="L131" s="35">
        <v>141.9</v>
      </c>
      <c r="M131" s="93">
        <f t="shared" si="70"/>
        <v>6225.5804900000003</v>
      </c>
      <c r="N131" s="93">
        <f t="shared" si="71"/>
        <v>11.419509999999718</v>
      </c>
      <c r="O131" s="70">
        <f t="shared" si="52"/>
        <v>99.816907006573672</v>
      </c>
      <c r="P131" s="71">
        <f t="shared" si="41"/>
        <v>0</v>
      </c>
      <c r="Q131" s="35">
        <f t="shared" si="42"/>
        <v>11.419509999999718</v>
      </c>
      <c r="R131" s="72">
        <v>1103683</v>
      </c>
      <c r="S131" s="72">
        <f t="shared" si="43"/>
        <v>11.419509999999718</v>
      </c>
      <c r="T131" s="62">
        <f t="shared" si="65"/>
        <v>11.419509999999718</v>
      </c>
    </row>
    <row r="132" spans="1:20">
      <c r="A132" s="9"/>
      <c r="B132" s="8"/>
      <c r="C132" s="8"/>
      <c r="D132" s="21"/>
      <c r="E132" s="69">
        <v>151</v>
      </c>
      <c r="F132" s="136" t="s">
        <v>99</v>
      </c>
      <c r="G132" s="26">
        <f>43006+68084</f>
        <v>111090</v>
      </c>
      <c r="H132" s="37">
        <v>66506</v>
      </c>
      <c r="I132" s="37">
        <v>66506</v>
      </c>
      <c r="J132" s="75">
        <f t="shared" ref="J132:J138" si="73">M132</f>
        <v>66460.251029999999</v>
      </c>
      <c r="K132" s="35">
        <f>'1.08'!M132</f>
        <v>63717.433949999999</v>
      </c>
      <c r="L132" s="35">
        <v>2742.8170799999998</v>
      </c>
      <c r="M132" s="93">
        <f t="shared" si="70"/>
        <v>66460.251029999999</v>
      </c>
      <c r="N132" s="93">
        <f t="shared" si="71"/>
        <v>45.748970000000554</v>
      </c>
      <c r="O132" s="70">
        <f t="shared" si="52"/>
        <v>99.931210762938676</v>
      </c>
      <c r="P132" s="71">
        <f t="shared" si="41"/>
        <v>0</v>
      </c>
      <c r="Q132" s="35">
        <f t="shared" si="42"/>
        <v>45.748970000000554</v>
      </c>
      <c r="R132" s="72">
        <v>1103684</v>
      </c>
      <c r="S132" s="72">
        <f t="shared" si="43"/>
        <v>44629.748970000001</v>
      </c>
      <c r="T132" s="62">
        <f t="shared" si="65"/>
        <v>44629.748970000001</v>
      </c>
    </row>
    <row r="133" spans="1:20">
      <c r="A133" s="9"/>
      <c r="B133" s="9"/>
      <c r="C133" s="9"/>
      <c r="D133" s="69"/>
      <c r="E133" s="69">
        <v>152</v>
      </c>
      <c r="F133" s="136" t="s">
        <v>100</v>
      </c>
      <c r="G133" s="26">
        <v>2907</v>
      </c>
      <c r="H133" s="37">
        <v>2907</v>
      </c>
      <c r="I133" s="37">
        <v>1080</v>
      </c>
      <c r="J133" s="75">
        <v>1667.3999799999999</v>
      </c>
      <c r="K133" s="35">
        <f>'1.08'!M133</f>
        <v>783.9392600000001</v>
      </c>
      <c r="L133" s="35">
        <v>127.87063000000001</v>
      </c>
      <c r="M133" s="93">
        <f t="shared" si="70"/>
        <v>911.80989000000011</v>
      </c>
      <c r="N133" s="93">
        <f t="shared" si="71"/>
        <v>168.19010999999989</v>
      </c>
      <c r="O133" s="70">
        <f t="shared" si="52"/>
        <v>84.426841666666675</v>
      </c>
      <c r="P133" s="71">
        <f t="shared" si="41"/>
        <v>755.5900899999998</v>
      </c>
      <c r="Q133" s="35">
        <f t="shared" si="42"/>
        <v>1239.6000200000001</v>
      </c>
      <c r="R133" s="72">
        <v>1103685</v>
      </c>
      <c r="S133" s="72">
        <f t="shared" si="43"/>
        <v>1995.19011</v>
      </c>
      <c r="T133" s="62">
        <f t="shared" si="65"/>
        <v>1239.6000200000001</v>
      </c>
    </row>
    <row r="134" spans="1:20">
      <c r="A134" s="9"/>
      <c r="B134" s="9"/>
      <c r="C134" s="9"/>
      <c r="D134" s="69"/>
      <c r="E134" s="69">
        <v>158</v>
      </c>
      <c r="F134" s="136" t="s">
        <v>101</v>
      </c>
      <c r="G134" s="26">
        <f>730+1670-428</f>
        <v>1972</v>
      </c>
      <c r="H134" s="37">
        <v>1972</v>
      </c>
      <c r="I134" s="37">
        <v>900</v>
      </c>
      <c r="J134" s="75">
        <v>1062.3078</v>
      </c>
      <c r="K134" s="35">
        <f>'1.08'!M134</f>
        <v>698.30780000000004</v>
      </c>
      <c r="L134" s="35">
        <v>61</v>
      </c>
      <c r="M134" s="93">
        <f t="shared" si="70"/>
        <v>759.30780000000004</v>
      </c>
      <c r="N134" s="93">
        <f t="shared" si="71"/>
        <v>140.69219999999996</v>
      </c>
      <c r="O134" s="70">
        <f t="shared" si="52"/>
        <v>84.367533333333327</v>
      </c>
      <c r="P134" s="71">
        <f t="shared" si="41"/>
        <v>303</v>
      </c>
      <c r="Q134" s="35">
        <f t="shared" si="42"/>
        <v>909.69219999999996</v>
      </c>
      <c r="R134" s="72">
        <v>1103686</v>
      </c>
      <c r="S134" s="72">
        <f t="shared" si="43"/>
        <v>1212.6922</v>
      </c>
      <c r="T134" s="62">
        <f t="shared" si="65"/>
        <v>909.69219999999996</v>
      </c>
    </row>
    <row r="135" spans="1:20">
      <c r="A135" s="9"/>
      <c r="B135" s="8"/>
      <c r="C135" s="8"/>
      <c r="D135" s="69"/>
      <c r="E135" s="69">
        <v>159</v>
      </c>
      <c r="F135" s="136" t="s">
        <v>84</v>
      </c>
      <c r="G135" s="26">
        <f>7990-1670</f>
        <v>6320</v>
      </c>
      <c r="H135" s="37">
        <v>6320</v>
      </c>
      <c r="I135" s="37">
        <v>2460</v>
      </c>
      <c r="J135" s="75">
        <v>4492.6009999999997</v>
      </c>
      <c r="K135" s="35">
        <f>'1.08'!M135</f>
        <v>1817.203</v>
      </c>
      <c r="L135" s="35">
        <v>642.79700000000003</v>
      </c>
      <c r="M135" s="93">
        <f t="shared" si="70"/>
        <v>2460</v>
      </c>
      <c r="N135" s="93">
        <f t="shared" si="71"/>
        <v>0</v>
      </c>
      <c r="O135" s="70">
        <f t="shared" si="52"/>
        <v>100</v>
      </c>
      <c r="P135" s="71">
        <f t="shared" si="41"/>
        <v>2032.6009999999997</v>
      </c>
      <c r="Q135" s="35">
        <f t="shared" si="42"/>
        <v>1827.3990000000003</v>
      </c>
      <c r="R135" s="72">
        <v>1103687</v>
      </c>
      <c r="S135" s="72">
        <f t="shared" si="43"/>
        <v>3860</v>
      </c>
      <c r="T135" s="62">
        <f t="shared" si="65"/>
        <v>1827.3990000000003</v>
      </c>
    </row>
    <row r="136" spans="1:20">
      <c r="A136" s="9"/>
      <c r="B136" s="8"/>
      <c r="C136" s="8"/>
      <c r="D136" s="69"/>
      <c r="E136" s="76">
        <v>161</v>
      </c>
      <c r="F136" s="136" t="s">
        <v>102</v>
      </c>
      <c r="G136" s="26">
        <v>1250</v>
      </c>
      <c r="H136" s="37"/>
      <c r="I136" s="37"/>
      <c r="J136" s="75">
        <f t="shared" si="73"/>
        <v>0</v>
      </c>
      <c r="K136" s="35">
        <f>'1.08'!M136</f>
        <v>0</v>
      </c>
      <c r="L136" s="35"/>
      <c r="M136" s="93">
        <f t="shared" si="70"/>
        <v>0</v>
      </c>
      <c r="N136" s="93">
        <f t="shared" si="71"/>
        <v>0</v>
      </c>
      <c r="O136" s="70" t="e">
        <f t="shared" si="52"/>
        <v>#DIV/0!</v>
      </c>
      <c r="P136" s="71">
        <f t="shared" si="41"/>
        <v>0</v>
      </c>
      <c r="Q136" s="35">
        <f t="shared" si="42"/>
        <v>0</v>
      </c>
      <c r="R136" s="72">
        <v>1103688</v>
      </c>
      <c r="S136" s="72">
        <f t="shared" si="43"/>
        <v>1250</v>
      </c>
      <c r="T136" s="62">
        <f t="shared" si="65"/>
        <v>1250</v>
      </c>
    </row>
    <row r="137" spans="1:20">
      <c r="A137" s="9"/>
      <c r="B137" s="8"/>
      <c r="C137" s="8"/>
      <c r="D137" s="69"/>
      <c r="E137" s="76">
        <v>168</v>
      </c>
      <c r="F137" s="136" t="s">
        <v>167</v>
      </c>
      <c r="G137" s="26">
        <v>50</v>
      </c>
      <c r="H137" s="37">
        <v>50</v>
      </c>
      <c r="I137" s="37">
        <v>50</v>
      </c>
      <c r="J137" s="75">
        <f>M137</f>
        <v>24.369999999999997</v>
      </c>
      <c r="K137" s="35">
        <f>'1.08'!M137</f>
        <v>24.369999999999997</v>
      </c>
      <c r="L137" s="35"/>
      <c r="M137" s="93">
        <f t="shared" si="70"/>
        <v>24.369999999999997</v>
      </c>
      <c r="N137" s="93">
        <f t="shared" si="71"/>
        <v>25.630000000000003</v>
      </c>
      <c r="O137" s="70">
        <f t="shared" si="52"/>
        <v>48.739999999999995</v>
      </c>
      <c r="P137" s="71">
        <f t="shared" si="41"/>
        <v>0</v>
      </c>
      <c r="Q137" s="35">
        <f t="shared" si="42"/>
        <v>25.630000000000003</v>
      </c>
      <c r="R137" s="72">
        <v>1103689</v>
      </c>
      <c r="S137" s="72">
        <f t="shared" si="43"/>
        <v>25.630000000000003</v>
      </c>
    </row>
    <row r="138" spans="1:20">
      <c r="A138" s="9"/>
      <c r="B138" s="8"/>
      <c r="C138" s="8"/>
      <c r="D138" s="69"/>
      <c r="E138" s="69">
        <v>169</v>
      </c>
      <c r="F138" s="136" t="s">
        <v>103</v>
      </c>
      <c r="G138" s="26">
        <f>200-50</f>
        <v>150</v>
      </c>
      <c r="H138" s="37">
        <v>50</v>
      </c>
      <c r="I138" s="37">
        <v>50</v>
      </c>
      <c r="J138" s="75">
        <f t="shared" si="73"/>
        <v>0</v>
      </c>
      <c r="K138" s="35">
        <f>'1.08'!M138</f>
        <v>0</v>
      </c>
      <c r="L138" s="35"/>
      <c r="M138" s="93">
        <f t="shared" si="70"/>
        <v>0</v>
      </c>
      <c r="N138" s="93">
        <f t="shared" si="71"/>
        <v>50</v>
      </c>
      <c r="O138" s="70">
        <f t="shared" si="52"/>
        <v>0</v>
      </c>
      <c r="P138" s="71">
        <f t="shared" si="41"/>
        <v>0</v>
      </c>
      <c r="Q138" s="35">
        <f t="shared" si="42"/>
        <v>50</v>
      </c>
      <c r="R138" s="72">
        <v>1103689</v>
      </c>
      <c r="S138" s="72">
        <f t="shared" si="43"/>
        <v>150</v>
      </c>
      <c r="T138" s="62">
        <f t="shared" si="65"/>
        <v>150</v>
      </c>
    </row>
    <row r="139" spans="1:20" s="73" customFormat="1">
      <c r="A139" s="8"/>
      <c r="B139" s="17">
        <v>1263</v>
      </c>
      <c r="C139" s="12"/>
      <c r="D139" s="11"/>
      <c r="E139" s="18"/>
      <c r="F139" s="139" t="s">
        <v>117</v>
      </c>
      <c r="G139" s="42">
        <f t="shared" ref="G139:N139" si="74">G140+G159</f>
        <v>592154</v>
      </c>
      <c r="H139" s="42">
        <f t="shared" si="74"/>
        <v>364499</v>
      </c>
      <c r="I139" s="42">
        <f t="shared" si="74"/>
        <v>291356.50000000006</v>
      </c>
      <c r="J139" s="29">
        <f t="shared" si="74"/>
        <v>363974.24023</v>
      </c>
      <c r="K139" s="29">
        <f>'1.02.'!M119</f>
        <v>10083.11916</v>
      </c>
      <c r="L139" s="29">
        <f t="shared" si="74"/>
        <v>39225.185290000001</v>
      </c>
      <c r="M139" s="29">
        <f t="shared" si="74"/>
        <v>291331.87276</v>
      </c>
      <c r="N139" s="29">
        <f t="shared" si="74"/>
        <v>24.627239999999261</v>
      </c>
      <c r="O139" s="68">
        <f t="shared" si="52"/>
        <v>99.991547386106006</v>
      </c>
      <c r="P139" s="35">
        <f t="shared" si="41"/>
        <v>72642.367469999997</v>
      </c>
      <c r="Q139" s="35">
        <f t="shared" si="42"/>
        <v>524.75977000000421</v>
      </c>
      <c r="R139" s="72">
        <v>1103690</v>
      </c>
      <c r="S139" s="72">
        <f>G139-M139</f>
        <v>300822.12724</v>
      </c>
      <c r="T139" s="62">
        <f>G139-J139</f>
        <v>228179.75977</v>
      </c>
    </row>
    <row r="140" spans="1:20" s="73" customFormat="1" ht="51">
      <c r="A140" s="8"/>
      <c r="B140" s="12"/>
      <c r="C140" s="12" t="s">
        <v>25</v>
      </c>
      <c r="D140" s="11"/>
      <c r="E140" s="18"/>
      <c r="F140" s="139" t="s">
        <v>118</v>
      </c>
      <c r="G140" s="42">
        <f>G141</f>
        <v>591494</v>
      </c>
      <c r="H140" s="42">
        <f t="shared" ref="H140:N140" si="75">H141</f>
        <v>364036</v>
      </c>
      <c r="I140" s="42">
        <f t="shared" si="75"/>
        <v>291356.50000000006</v>
      </c>
      <c r="J140" s="42">
        <f t="shared" si="75"/>
        <v>363511.97622999997</v>
      </c>
      <c r="K140" s="29">
        <f>'1.02.'!M120</f>
        <v>10083.11916</v>
      </c>
      <c r="L140" s="29">
        <f t="shared" si="75"/>
        <v>39225.185290000001</v>
      </c>
      <c r="M140" s="29">
        <f t="shared" si="75"/>
        <v>291331.87276</v>
      </c>
      <c r="N140" s="29">
        <f t="shared" si="75"/>
        <v>24.627239999999261</v>
      </c>
      <c r="O140" s="68">
        <f t="shared" si="52"/>
        <v>99.991547386106006</v>
      </c>
      <c r="P140" s="71">
        <f t="shared" si="41"/>
        <v>72180.103469999973</v>
      </c>
      <c r="Q140" s="35">
        <f t="shared" si="42"/>
        <v>524.02377000002889</v>
      </c>
      <c r="R140" s="72">
        <v>1103691</v>
      </c>
      <c r="S140" s="72">
        <f t="shared" si="43"/>
        <v>300162.12724</v>
      </c>
      <c r="T140" s="62">
        <f t="shared" si="65"/>
        <v>227982.02377000003</v>
      </c>
    </row>
    <row r="141" spans="1:20" s="73" customFormat="1">
      <c r="A141" s="8"/>
      <c r="B141" s="12"/>
      <c r="C141" s="12"/>
      <c r="D141" s="11" t="s">
        <v>7</v>
      </c>
      <c r="E141" s="19"/>
      <c r="F141" s="140" t="s">
        <v>85</v>
      </c>
      <c r="G141" s="30">
        <f>SUM(G142:G158)</f>
        <v>591494</v>
      </c>
      <c r="H141" s="30">
        <f t="shared" ref="H141:N141" si="76">SUM(H142:H158)</f>
        <v>364036</v>
      </c>
      <c r="I141" s="30">
        <f t="shared" si="76"/>
        <v>291356.50000000006</v>
      </c>
      <c r="J141" s="32">
        <f>SUM(J142:J158)</f>
        <v>363511.97622999997</v>
      </c>
      <c r="K141" s="29">
        <f>'1.02.'!M121</f>
        <v>10083.11916</v>
      </c>
      <c r="L141" s="32">
        <f>SUM(L142:L158)</f>
        <v>39225.185290000001</v>
      </c>
      <c r="M141" s="32">
        <f t="shared" si="76"/>
        <v>291331.87276</v>
      </c>
      <c r="N141" s="32">
        <f t="shared" si="76"/>
        <v>24.627239999999261</v>
      </c>
      <c r="O141" s="68">
        <f t="shared" si="52"/>
        <v>99.991547386106006</v>
      </c>
      <c r="P141" s="71">
        <f t="shared" si="41"/>
        <v>72180.103469999973</v>
      </c>
      <c r="Q141" s="35">
        <f t="shared" si="42"/>
        <v>524.02377000002889</v>
      </c>
      <c r="R141" s="72">
        <v>1103692</v>
      </c>
      <c r="S141" s="72">
        <f t="shared" si="43"/>
        <v>300162.12724</v>
      </c>
      <c r="T141" s="62">
        <f t="shared" si="65"/>
        <v>227982.02377000003</v>
      </c>
    </row>
    <row r="142" spans="1:20">
      <c r="A142" s="8"/>
      <c r="B142" s="13"/>
      <c r="C142" s="13"/>
      <c r="D142" s="14"/>
      <c r="E142" s="20">
        <v>111</v>
      </c>
      <c r="F142" s="136" t="s">
        <v>86</v>
      </c>
      <c r="G142" s="34">
        <f>288321-2200-4200</f>
        <v>281921</v>
      </c>
      <c r="H142" s="34">
        <v>143499.29999999999</v>
      </c>
      <c r="I142" s="34">
        <v>143499.29999999999</v>
      </c>
      <c r="J142" s="75">
        <f>M142</f>
        <v>143499.29999999999</v>
      </c>
      <c r="K142" s="35">
        <f>'1.08'!M142</f>
        <v>123499.3</v>
      </c>
      <c r="L142" s="36">
        <v>20000</v>
      </c>
      <c r="M142" s="93">
        <f t="shared" si="70"/>
        <v>143499.29999999999</v>
      </c>
      <c r="N142" s="93">
        <f>I142-M142</f>
        <v>0</v>
      </c>
      <c r="O142" s="70">
        <f t="shared" si="52"/>
        <v>100</v>
      </c>
      <c r="P142" s="71">
        <f t="shared" si="41"/>
        <v>0</v>
      </c>
      <c r="Q142" s="35">
        <f t="shared" si="42"/>
        <v>0</v>
      </c>
      <c r="R142" s="72">
        <v>1103693</v>
      </c>
      <c r="S142" s="72">
        <f t="shared" si="43"/>
        <v>138421.70000000001</v>
      </c>
      <c r="T142" s="62">
        <f t="shared" si="65"/>
        <v>138421.70000000001</v>
      </c>
    </row>
    <row r="143" spans="1:20">
      <c r="A143" s="8"/>
      <c r="B143" s="13"/>
      <c r="C143" s="13"/>
      <c r="D143" s="14"/>
      <c r="E143" s="20">
        <v>112</v>
      </c>
      <c r="F143" s="136" t="s">
        <v>87</v>
      </c>
      <c r="G143" s="34">
        <f>3669.3+4200</f>
        <v>7869.3</v>
      </c>
      <c r="H143" s="34">
        <v>7869.3</v>
      </c>
      <c r="I143" s="34">
        <v>7869.3</v>
      </c>
      <c r="J143" s="75">
        <f t="shared" ref="J143:J157" si="77">M143</f>
        <v>7859.9789999999994</v>
      </c>
      <c r="K143" s="35">
        <f>'1.08'!M143</f>
        <v>7859.9789999999994</v>
      </c>
      <c r="L143" s="36"/>
      <c r="M143" s="93">
        <f t="shared" si="70"/>
        <v>7859.9789999999994</v>
      </c>
      <c r="N143" s="93">
        <f>I143-M143</f>
        <v>9.3210000000008222</v>
      </c>
      <c r="O143" s="70">
        <f t="shared" si="52"/>
        <v>99.88155236170941</v>
      </c>
      <c r="P143" s="71">
        <f t="shared" si="41"/>
        <v>0</v>
      </c>
      <c r="Q143" s="35">
        <f t="shared" si="42"/>
        <v>9.3210000000008222</v>
      </c>
      <c r="R143" s="72">
        <v>1103694</v>
      </c>
      <c r="S143" s="72">
        <f t="shared" si="43"/>
        <v>9.3210000000008222</v>
      </c>
    </row>
    <row r="144" spans="1:20">
      <c r="A144" s="8"/>
      <c r="B144" s="15"/>
      <c r="C144" s="15"/>
      <c r="D144" s="16"/>
      <c r="E144" s="20">
        <v>113</v>
      </c>
      <c r="F144" s="136" t="s">
        <v>88</v>
      </c>
      <c r="G144" s="34">
        <v>7446</v>
      </c>
      <c r="H144" s="34">
        <v>4280.1000000000004</v>
      </c>
      <c r="I144" s="34">
        <v>4280.1000000000004</v>
      </c>
      <c r="J144" s="75">
        <f t="shared" si="77"/>
        <v>4280.0209999999997</v>
      </c>
      <c r="K144" s="35">
        <f>'1.08'!M144</f>
        <v>3480.1459999999997</v>
      </c>
      <c r="L144" s="36">
        <v>799.875</v>
      </c>
      <c r="M144" s="93">
        <f t="shared" si="70"/>
        <v>4280.0209999999997</v>
      </c>
      <c r="N144" s="93">
        <f t="shared" si="71"/>
        <v>7.9000000000633008E-2</v>
      </c>
      <c r="O144" s="70">
        <f t="shared" si="52"/>
        <v>99.99815424873249</v>
      </c>
      <c r="P144" s="71">
        <f t="shared" si="41"/>
        <v>0</v>
      </c>
      <c r="Q144" s="35">
        <f t="shared" si="42"/>
        <v>7.9000000000633008E-2</v>
      </c>
      <c r="R144" s="72">
        <v>1103695</v>
      </c>
      <c r="S144" s="72">
        <f t="shared" si="43"/>
        <v>3165.9790000000003</v>
      </c>
      <c r="T144" s="62">
        <f t="shared" si="65"/>
        <v>3165.9790000000003</v>
      </c>
    </row>
    <row r="145" spans="1:20">
      <c r="A145" s="8"/>
      <c r="B145" s="15"/>
      <c r="C145" s="15"/>
      <c r="D145" s="16"/>
      <c r="E145" s="69">
        <v>116</v>
      </c>
      <c r="F145" s="136" t="s">
        <v>89</v>
      </c>
      <c r="G145" s="34">
        <f>9009-131.5</f>
        <v>8877.5</v>
      </c>
      <c r="H145" s="34">
        <v>2206.1999999999998</v>
      </c>
      <c r="I145" s="34">
        <v>2206.1999999999998</v>
      </c>
      <c r="J145" s="75">
        <f t="shared" si="77"/>
        <v>2206.1999999999998</v>
      </c>
      <c r="K145" s="35">
        <f>'1.08'!M145</f>
        <v>1833.7670000000001</v>
      </c>
      <c r="L145" s="36">
        <v>372.43299999999999</v>
      </c>
      <c r="M145" s="93">
        <f>K145+L145</f>
        <v>2206.1999999999998</v>
      </c>
      <c r="N145" s="93">
        <f>I145-M145</f>
        <v>0</v>
      </c>
      <c r="O145" s="70">
        <f>M145/I145*100</f>
        <v>100</v>
      </c>
      <c r="P145" s="71">
        <f t="shared" si="41"/>
        <v>0</v>
      </c>
      <c r="Q145" s="35">
        <f t="shared" si="42"/>
        <v>0</v>
      </c>
      <c r="R145" s="72">
        <v>1103696</v>
      </c>
      <c r="S145" s="72">
        <f t="shared" si="43"/>
        <v>6671.3</v>
      </c>
    </row>
    <row r="146" spans="1:20">
      <c r="A146" s="8"/>
      <c r="B146" s="15"/>
      <c r="C146" s="15"/>
      <c r="D146" s="16"/>
      <c r="E146" s="20">
        <v>121</v>
      </c>
      <c r="F146" s="136" t="s">
        <v>90</v>
      </c>
      <c r="G146" s="34">
        <f>14861-20.4</f>
        <v>14840.6</v>
      </c>
      <c r="H146" s="34">
        <v>8426.9</v>
      </c>
      <c r="I146" s="34">
        <v>8426.9</v>
      </c>
      <c r="J146" s="75">
        <f t="shared" si="77"/>
        <v>8426.9</v>
      </c>
      <c r="K146" s="35">
        <f>'1.08'!M146</f>
        <v>7053.9</v>
      </c>
      <c r="L146" s="36">
        <v>1373</v>
      </c>
      <c r="M146" s="93">
        <f t="shared" si="70"/>
        <v>8426.9</v>
      </c>
      <c r="N146" s="93">
        <f t="shared" si="71"/>
        <v>0</v>
      </c>
      <c r="O146" s="70">
        <f t="shared" si="52"/>
        <v>100</v>
      </c>
      <c r="P146" s="71">
        <f t="shared" si="41"/>
        <v>0</v>
      </c>
      <c r="Q146" s="35">
        <f t="shared" si="42"/>
        <v>0</v>
      </c>
      <c r="R146" s="72">
        <v>1103697</v>
      </c>
      <c r="S146" s="72">
        <f t="shared" si="43"/>
        <v>6413.7000000000007</v>
      </c>
      <c r="T146" s="62">
        <f t="shared" si="65"/>
        <v>6413.7000000000007</v>
      </c>
    </row>
    <row r="147" spans="1:20">
      <c r="A147" s="8"/>
      <c r="B147" s="15"/>
      <c r="C147" s="15"/>
      <c r="D147" s="16"/>
      <c r="E147" s="20">
        <v>122</v>
      </c>
      <c r="F147" s="136" t="s">
        <v>91</v>
      </c>
      <c r="G147" s="37">
        <f>12910-1105.1</f>
        <v>11804.9</v>
      </c>
      <c r="H147" s="37">
        <v>5318.8</v>
      </c>
      <c r="I147" s="37">
        <v>5318.8</v>
      </c>
      <c r="J147" s="75">
        <f t="shared" si="77"/>
        <v>5318.7060000000001</v>
      </c>
      <c r="K147" s="35">
        <f>'1.08'!M147</f>
        <v>4463.5820000000003</v>
      </c>
      <c r="L147" s="35">
        <v>855.12400000000002</v>
      </c>
      <c r="M147" s="93">
        <f t="shared" si="70"/>
        <v>5318.7060000000001</v>
      </c>
      <c r="N147" s="93">
        <f t="shared" si="71"/>
        <v>9.4000000000050932E-2</v>
      </c>
      <c r="O147" s="70">
        <f t="shared" si="52"/>
        <v>99.998232684064064</v>
      </c>
      <c r="P147" s="71">
        <f t="shared" si="41"/>
        <v>0</v>
      </c>
      <c r="Q147" s="35">
        <f t="shared" si="42"/>
        <v>9.4000000000050932E-2</v>
      </c>
      <c r="R147" s="72">
        <v>1103698</v>
      </c>
      <c r="S147" s="72">
        <f t="shared" si="43"/>
        <v>6486.1939999999995</v>
      </c>
      <c r="T147" s="62">
        <f t="shared" si="65"/>
        <v>6486.1939999999995</v>
      </c>
    </row>
    <row r="148" spans="1:20">
      <c r="A148" s="8"/>
      <c r="B148" s="15"/>
      <c r="C148" s="15"/>
      <c r="D148" s="16"/>
      <c r="E148" s="20">
        <v>123</v>
      </c>
      <c r="F148" s="136" t="s">
        <v>92</v>
      </c>
      <c r="G148" s="34">
        <v>228</v>
      </c>
      <c r="H148" s="34">
        <v>110</v>
      </c>
      <c r="I148" s="34">
        <v>110</v>
      </c>
      <c r="J148" s="75">
        <f t="shared" si="77"/>
        <v>95.396330000000006</v>
      </c>
      <c r="K148" s="35">
        <f>'1.08'!M148</f>
        <v>95.396330000000006</v>
      </c>
      <c r="L148" s="36"/>
      <c r="M148" s="93">
        <f t="shared" si="70"/>
        <v>95.396330000000006</v>
      </c>
      <c r="N148" s="93">
        <f t="shared" si="71"/>
        <v>14.603669999999994</v>
      </c>
      <c r="O148" s="70">
        <f t="shared" si="52"/>
        <v>86.723936363636369</v>
      </c>
      <c r="P148" s="71">
        <f t="shared" si="41"/>
        <v>0</v>
      </c>
      <c r="Q148" s="35">
        <f t="shared" si="42"/>
        <v>14.603669999999994</v>
      </c>
      <c r="R148" s="72">
        <v>1103699</v>
      </c>
      <c r="S148" s="72">
        <f t="shared" si="43"/>
        <v>132.60366999999999</v>
      </c>
      <c r="T148" s="62">
        <f t="shared" si="65"/>
        <v>132.60366999999999</v>
      </c>
    </row>
    <row r="149" spans="1:20">
      <c r="A149" s="9"/>
      <c r="B149" s="15"/>
      <c r="C149" s="15"/>
      <c r="D149" s="16"/>
      <c r="E149" s="20">
        <v>124</v>
      </c>
      <c r="F149" s="136" t="s">
        <v>93</v>
      </c>
      <c r="G149" s="37">
        <f>8607-212.3</f>
        <v>8394.7000000000007</v>
      </c>
      <c r="H149" s="37">
        <v>3364.4</v>
      </c>
      <c r="I149" s="37">
        <v>3364.4</v>
      </c>
      <c r="J149" s="75">
        <f t="shared" si="77"/>
        <v>3364.3939999999993</v>
      </c>
      <c r="K149" s="35">
        <f>'1.08'!M149</f>
        <v>2820.3729999999996</v>
      </c>
      <c r="L149" s="35">
        <v>544.02099999999996</v>
      </c>
      <c r="M149" s="93">
        <f t="shared" si="70"/>
        <v>3364.3939999999993</v>
      </c>
      <c r="N149" s="93">
        <f t="shared" si="71"/>
        <v>6.0000000007676135E-3</v>
      </c>
      <c r="O149" s="70">
        <f t="shared" si="52"/>
        <v>99.999821662109127</v>
      </c>
      <c r="P149" s="71">
        <f t="shared" si="41"/>
        <v>0</v>
      </c>
      <c r="Q149" s="35">
        <f t="shared" si="42"/>
        <v>6.0000000007676135E-3</v>
      </c>
      <c r="R149" s="72">
        <v>1103700</v>
      </c>
      <c r="S149" s="72">
        <f t="shared" si="43"/>
        <v>5030.3060000000014</v>
      </c>
      <c r="T149" s="62">
        <f t="shared" si="65"/>
        <v>5030.3060000000014</v>
      </c>
    </row>
    <row r="150" spans="1:20">
      <c r="A150" s="9"/>
      <c r="B150" s="15"/>
      <c r="C150" s="15"/>
      <c r="D150" s="16"/>
      <c r="E150" s="20">
        <v>141</v>
      </c>
      <c r="F150" s="136" t="s">
        <v>116</v>
      </c>
      <c r="G150" s="34">
        <f>138471-1027-660</f>
        <v>136784</v>
      </c>
      <c r="H150" s="34">
        <v>114871</v>
      </c>
      <c r="I150" s="34">
        <v>44700</v>
      </c>
      <c r="J150" s="75">
        <v>114809.33041</v>
      </c>
      <c r="K150" s="35">
        <f>'1.08'!M150</f>
        <v>35700</v>
      </c>
      <c r="L150" s="36">
        <v>9000</v>
      </c>
      <c r="M150" s="93">
        <f t="shared" si="70"/>
        <v>44700</v>
      </c>
      <c r="N150" s="93">
        <f t="shared" si="71"/>
        <v>0</v>
      </c>
      <c r="O150" s="70">
        <f t="shared" si="52"/>
        <v>100</v>
      </c>
      <c r="P150" s="71">
        <f t="shared" si="41"/>
        <v>70109.330409999995</v>
      </c>
      <c r="Q150" s="35">
        <f t="shared" si="42"/>
        <v>61.669590000004973</v>
      </c>
      <c r="R150" s="72">
        <v>1103701</v>
      </c>
      <c r="S150" s="72">
        <f t="shared" si="43"/>
        <v>92084</v>
      </c>
      <c r="T150" s="62">
        <f t="shared" si="65"/>
        <v>21974.669590000005</v>
      </c>
    </row>
    <row r="151" spans="1:20">
      <c r="A151" s="9"/>
      <c r="B151" s="15"/>
      <c r="C151" s="15"/>
      <c r="D151" s="16"/>
      <c r="E151" s="20">
        <v>144</v>
      </c>
      <c r="F151" s="136" t="s">
        <v>97</v>
      </c>
      <c r="G151" s="37">
        <v>1470</v>
      </c>
      <c r="H151" s="37">
        <v>1470</v>
      </c>
      <c r="I151" s="37">
        <v>1470</v>
      </c>
      <c r="J151" s="75">
        <v>1470</v>
      </c>
      <c r="K151" s="35">
        <f>'1.08'!M151</f>
        <v>1470</v>
      </c>
      <c r="L151" s="36"/>
      <c r="M151" s="93">
        <f t="shared" si="70"/>
        <v>1470</v>
      </c>
      <c r="N151" s="93">
        <f t="shared" si="71"/>
        <v>0</v>
      </c>
      <c r="O151" s="70">
        <f t="shared" si="52"/>
        <v>100</v>
      </c>
      <c r="P151" s="71">
        <f t="shared" si="41"/>
        <v>0</v>
      </c>
      <c r="Q151" s="35">
        <f t="shared" si="42"/>
        <v>0</v>
      </c>
      <c r="R151" s="72">
        <v>1103702</v>
      </c>
      <c r="S151" s="72">
        <f t="shared" si="43"/>
        <v>0</v>
      </c>
      <c r="T151" s="62">
        <f t="shared" si="65"/>
        <v>0</v>
      </c>
    </row>
    <row r="152" spans="1:20">
      <c r="A152" s="9"/>
      <c r="B152" s="15"/>
      <c r="C152" s="15"/>
      <c r="D152" s="16"/>
      <c r="E152" s="20">
        <v>149</v>
      </c>
      <c r="F152" s="136" t="s">
        <v>98</v>
      </c>
      <c r="G152" s="34">
        <v>5557</v>
      </c>
      <c r="H152" s="34">
        <v>5115.7</v>
      </c>
      <c r="I152" s="34">
        <v>5115.7</v>
      </c>
      <c r="J152" s="75">
        <f>M152</f>
        <v>5115.6235700000007</v>
      </c>
      <c r="K152" s="35">
        <f>'1.08'!M152</f>
        <v>4525.5968700000003</v>
      </c>
      <c r="L152" s="35">
        <v>590.02670000000001</v>
      </c>
      <c r="M152" s="93">
        <f t="shared" si="70"/>
        <v>5115.6235700000007</v>
      </c>
      <c r="N152" s="93">
        <f>I152-M152</f>
        <v>7.6429999999163556E-2</v>
      </c>
      <c r="O152" s="70">
        <f t="shared" si="52"/>
        <v>99.998505971812278</v>
      </c>
      <c r="P152" s="71">
        <f t="shared" si="41"/>
        <v>0</v>
      </c>
      <c r="Q152" s="35">
        <f t="shared" si="42"/>
        <v>7.6429999999163556E-2</v>
      </c>
      <c r="R152" s="72">
        <v>1103703</v>
      </c>
      <c r="S152" s="72">
        <f t="shared" si="43"/>
        <v>441.37642999999935</v>
      </c>
      <c r="T152" s="62">
        <f t="shared" si="65"/>
        <v>441.37642999999935</v>
      </c>
    </row>
    <row r="153" spans="1:20">
      <c r="A153" s="9"/>
      <c r="B153" s="15"/>
      <c r="C153" s="15"/>
      <c r="D153" s="16"/>
      <c r="E153" s="20">
        <v>151</v>
      </c>
      <c r="F153" s="136" t="s">
        <v>99</v>
      </c>
      <c r="G153" s="34">
        <f>60855+34853</f>
        <v>95708</v>
      </c>
      <c r="H153" s="34">
        <v>59768.1</v>
      </c>
      <c r="I153" s="34">
        <v>59768.1</v>
      </c>
      <c r="J153" s="75">
        <f>M153</f>
        <v>59768.005590000001</v>
      </c>
      <c r="K153" s="35">
        <f>'1.08'!M153</f>
        <v>54655</v>
      </c>
      <c r="L153" s="36">
        <v>5113.0055899999998</v>
      </c>
      <c r="M153" s="93">
        <f t="shared" si="70"/>
        <v>59768.005590000001</v>
      </c>
      <c r="N153" s="93">
        <f t="shared" si="71"/>
        <v>9.4409999997878913E-2</v>
      </c>
      <c r="O153" s="70">
        <f t="shared" si="52"/>
        <v>99.999842039482601</v>
      </c>
      <c r="P153" s="71">
        <f t="shared" si="41"/>
        <v>0</v>
      </c>
      <c r="Q153" s="35">
        <f t="shared" si="42"/>
        <v>9.4409999997878913E-2</v>
      </c>
      <c r="R153" s="72">
        <v>1103704</v>
      </c>
      <c r="S153" s="72">
        <f t="shared" si="43"/>
        <v>35939.994409999999</v>
      </c>
      <c r="T153" s="62">
        <f t="shared" si="65"/>
        <v>35939.994409999999</v>
      </c>
    </row>
    <row r="154" spans="1:20">
      <c r="A154" s="9"/>
      <c r="B154" s="15"/>
      <c r="C154" s="15"/>
      <c r="D154" s="16"/>
      <c r="E154" s="20">
        <v>152</v>
      </c>
      <c r="F154" s="136" t="s">
        <v>100</v>
      </c>
      <c r="G154" s="34">
        <v>1940</v>
      </c>
      <c r="H154" s="34">
        <v>880</v>
      </c>
      <c r="I154" s="34">
        <v>595.9</v>
      </c>
      <c r="J154" s="75">
        <v>879.07015999999999</v>
      </c>
      <c r="K154" s="35">
        <f>'1.08'!M154</f>
        <v>521.9</v>
      </c>
      <c r="L154" s="36">
        <v>74</v>
      </c>
      <c r="M154" s="93">
        <f t="shared" si="70"/>
        <v>595.9</v>
      </c>
      <c r="N154" s="93">
        <f t="shared" si="71"/>
        <v>0</v>
      </c>
      <c r="O154" s="70">
        <f t="shared" si="52"/>
        <v>100</v>
      </c>
      <c r="P154" s="71">
        <f t="shared" si="41"/>
        <v>283.17016000000001</v>
      </c>
      <c r="Q154" s="35">
        <f t="shared" si="42"/>
        <v>0.92984000000001288</v>
      </c>
      <c r="R154" s="72">
        <v>1103705</v>
      </c>
      <c r="S154" s="72">
        <f t="shared" si="43"/>
        <v>1344.1</v>
      </c>
      <c r="T154" s="62">
        <f t="shared" si="65"/>
        <v>1060.92984</v>
      </c>
    </row>
    <row r="155" spans="1:20">
      <c r="A155" s="9"/>
      <c r="B155" s="15"/>
      <c r="C155" s="15"/>
      <c r="D155" s="16"/>
      <c r="E155" s="20">
        <v>158</v>
      </c>
      <c r="F155" s="136" t="s">
        <v>101</v>
      </c>
      <c r="G155" s="34">
        <f>730+900</f>
        <v>1630</v>
      </c>
      <c r="H155" s="34">
        <v>1630</v>
      </c>
      <c r="I155" s="34">
        <v>953.4</v>
      </c>
      <c r="J155" s="75">
        <v>1360.6156000000001</v>
      </c>
      <c r="K155" s="35">
        <f>'1.08'!M155</f>
        <v>892.30780000000004</v>
      </c>
      <c r="L155" s="36">
        <v>61</v>
      </c>
      <c r="M155" s="93">
        <f t="shared" si="70"/>
        <v>953.30780000000004</v>
      </c>
      <c r="N155" s="93">
        <f t="shared" si="71"/>
        <v>9.2199999999934334E-2</v>
      </c>
      <c r="O155" s="70">
        <f t="shared" si="52"/>
        <v>99.990329347598077</v>
      </c>
      <c r="P155" s="71">
        <f t="shared" si="41"/>
        <v>407.30780000000004</v>
      </c>
      <c r="Q155" s="35">
        <f t="shared" si="42"/>
        <v>269.38439999999991</v>
      </c>
      <c r="R155" s="72">
        <v>1103706</v>
      </c>
      <c r="S155" s="72">
        <f t="shared" si="43"/>
        <v>676.69219999999996</v>
      </c>
      <c r="T155" s="62">
        <f t="shared" si="65"/>
        <v>269.38439999999991</v>
      </c>
    </row>
    <row r="156" spans="1:20">
      <c r="A156" s="9"/>
      <c r="B156" s="15"/>
      <c r="C156" s="15"/>
      <c r="D156" s="16"/>
      <c r="E156" s="20">
        <v>159</v>
      </c>
      <c r="F156" s="136" t="s">
        <v>84</v>
      </c>
      <c r="G156" s="34">
        <f>5598-900-269.2-242.7</f>
        <v>4186.1000000000004</v>
      </c>
      <c r="H156" s="34">
        <v>3466.8</v>
      </c>
      <c r="I156" s="34">
        <v>1919</v>
      </c>
      <c r="J156" s="75">
        <v>3299.2950999999998</v>
      </c>
      <c r="K156" s="35">
        <f>'1.08'!M156</f>
        <v>1719</v>
      </c>
      <c r="L156" s="36">
        <v>200</v>
      </c>
      <c r="M156" s="93">
        <f t="shared" si="70"/>
        <v>1919</v>
      </c>
      <c r="N156" s="93">
        <f t="shared" si="71"/>
        <v>0</v>
      </c>
      <c r="O156" s="70">
        <f t="shared" si="52"/>
        <v>100</v>
      </c>
      <c r="P156" s="71">
        <f t="shared" si="41"/>
        <v>1380.2950999999998</v>
      </c>
      <c r="Q156" s="35">
        <f t="shared" si="42"/>
        <v>167.50490000000036</v>
      </c>
      <c r="R156" s="72">
        <v>1103707</v>
      </c>
      <c r="S156" s="72">
        <f t="shared" si="43"/>
        <v>2267.1000000000004</v>
      </c>
      <c r="T156" s="62">
        <f t="shared" si="65"/>
        <v>886.80490000000054</v>
      </c>
    </row>
    <row r="157" spans="1:20">
      <c r="A157" s="9"/>
      <c r="B157" s="15"/>
      <c r="C157" s="15"/>
      <c r="D157" s="16"/>
      <c r="E157" s="20">
        <v>161</v>
      </c>
      <c r="F157" s="136" t="s">
        <v>102</v>
      </c>
      <c r="G157" s="37">
        <f>269.2+242.7</f>
        <v>511.9</v>
      </c>
      <c r="H157" s="37">
        <v>511.9</v>
      </c>
      <c r="I157" s="37">
        <v>511.9</v>
      </c>
      <c r="J157" s="75">
        <f t="shared" si="77"/>
        <v>511.86</v>
      </c>
      <c r="K157" s="35">
        <f>'1.08'!M157</f>
        <v>269.16000000000003</v>
      </c>
      <c r="L157" s="35">
        <v>242.7</v>
      </c>
      <c r="M157" s="93">
        <f t="shared" si="70"/>
        <v>511.86</v>
      </c>
      <c r="N157" s="93">
        <f t="shared" si="71"/>
        <v>3.999999999996362E-2</v>
      </c>
      <c r="O157" s="70">
        <f t="shared" si="52"/>
        <v>99.992185973823027</v>
      </c>
      <c r="P157" s="71">
        <f t="shared" si="41"/>
        <v>0</v>
      </c>
      <c r="Q157" s="35">
        <f t="shared" si="42"/>
        <v>3.999999999996362E-2</v>
      </c>
      <c r="R157" s="72">
        <v>1103708</v>
      </c>
      <c r="S157" s="72">
        <f t="shared" si="43"/>
        <v>3.999999999996362E-2</v>
      </c>
      <c r="T157" s="62">
        <f t="shared" si="65"/>
        <v>3.999999999996362E-2</v>
      </c>
    </row>
    <row r="158" spans="1:20">
      <c r="A158" s="9"/>
      <c r="B158" s="15"/>
      <c r="C158" s="15"/>
      <c r="D158" s="16"/>
      <c r="E158" s="20">
        <v>169</v>
      </c>
      <c r="F158" s="136" t="s">
        <v>103</v>
      </c>
      <c r="G158" s="34">
        <f>1298+1027</f>
        <v>2325</v>
      </c>
      <c r="H158" s="34">
        <v>1247.5</v>
      </c>
      <c r="I158" s="34">
        <v>1247.5</v>
      </c>
      <c r="J158" s="75">
        <v>1247.2794699999999</v>
      </c>
      <c r="K158" s="35">
        <f>'1.08'!M158</f>
        <v>1247.2794699999999</v>
      </c>
      <c r="L158" s="36"/>
      <c r="M158" s="93">
        <f t="shared" si="70"/>
        <v>1247.2794699999999</v>
      </c>
      <c r="N158" s="93">
        <f t="shared" si="71"/>
        <v>0.22053000000005341</v>
      </c>
      <c r="O158" s="70">
        <f t="shared" si="52"/>
        <v>99.982322244488969</v>
      </c>
      <c r="P158" s="71">
        <f t="shared" ref="P158:P224" si="78">J158-M158</f>
        <v>0</v>
      </c>
      <c r="Q158" s="35">
        <f t="shared" ref="Q158:Q224" si="79">H158-J158</f>
        <v>0.22053000000005341</v>
      </c>
      <c r="R158" s="72">
        <v>1103709</v>
      </c>
      <c r="S158" s="72">
        <f t="shared" ref="S158:S224" si="80">G158-M158</f>
        <v>1077.7205300000001</v>
      </c>
      <c r="T158" s="62">
        <f t="shared" si="65"/>
        <v>1077.7205300000001</v>
      </c>
    </row>
    <row r="159" spans="1:20" ht="25.5">
      <c r="A159" s="100"/>
      <c r="B159" s="15"/>
      <c r="C159" s="57" t="s">
        <v>43</v>
      </c>
      <c r="D159" s="16"/>
      <c r="E159" s="20"/>
      <c r="F159" s="139" t="s">
        <v>119</v>
      </c>
      <c r="G159" s="59">
        <f t="shared" ref="G159:N160" si="81">G160</f>
        <v>660</v>
      </c>
      <c r="H159" s="59">
        <f t="shared" si="81"/>
        <v>463</v>
      </c>
      <c r="I159" s="59">
        <f t="shared" si="81"/>
        <v>0</v>
      </c>
      <c r="J159" s="33">
        <f t="shared" si="81"/>
        <v>462.26400000000001</v>
      </c>
      <c r="K159" s="35">
        <f>'1.05.'!M149</f>
        <v>0</v>
      </c>
      <c r="L159" s="29">
        <f t="shared" si="81"/>
        <v>0</v>
      </c>
      <c r="M159" s="29">
        <f t="shared" si="81"/>
        <v>0</v>
      </c>
      <c r="N159" s="29">
        <f t="shared" si="81"/>
        <v>0</v>
      </c>
      <c r="O159" s="70"/>
      <c r="P159" s="71">
        <f t="shared" si="78"/>
        <v>462.26400000000001</v>
      </c>
      <c r="Q159" s="35">
        <f t="shared" si="79"/>
        <v>0.73599999999999</v>
      </c>
      <c r="R159" s="72">
        <v>1103710</v>
      </c>
      <c r="S159" s="72">
        <f t="shared" si="80"/>
        <v>660</v>
      </c>
    </row>
    <row r="160" spans="1:20">
      <c r="A160" s="9"/>
      <c r="B160" s="12"/>
      <c r="C160" s="12"/>
      <c r="D160" s="11" t="s">
        <v>7</v>
      </c>
      <c r="E160" s="97"/>
      <c r="F160" s="140" t="s">
        <v>85</v>
      </c>
      <c r="G160" s="98">
        <f>G161</f>
        <v>660</v>
      </c>
      <c r="H160" s="98">
        <f t="shared" si="81"/>
        <v>463</v>
      </c>
      <c r="I160" s="98">
        <f t="shared" si="81"/>
        <v>0</v>
      </c>
      <c r="J160" s="99">
        <f t="shared" si="81"/>
        <v>462.26400000000001</v>
      </c>
      <c r="K160" s="35">
        <f>'1.05.'!M150</f>
        <v>0</v>
      </c>
      <c r="L160" s="32">
        <f t="shared" si="81"/>
        <v>0</v>
      </c>
      <c r="M160" s="32">
        <f t="shared" si="81"/>
        <v>0</v>
      </c>
      <c r="N160" s="32">
        <f t="shared" si="81"/>
        <v>0</v>
      </c>
      <c r="O160" s="68" t="e">
        <f>M160/I160*100</f>
        <v>#DIV/0!</v>
      </c>
      <c r="P160" s="71">
        <f t="shared" si="78"/>
        <v>462.26400000000001</v>
      </c>
      <c r="Q160" s="35">
        <f t="shared" si="79"/>
        <v>0.73599999999999</v>
      </c>
      <c r="R160" s="72">
        <v>1103711</v>
      </c>
      <c r="S160" s="72">
        <f t="shared" si="80"/>
        <v>660</v>
      </c>
      <c r="T160" s="62">
        <f>G160-J160</f>
        <v>197.73599999999999</v>
      </c>
    </row>
    <row r="161" spans="1:20" ht="25.5">
      <c r="A161" s="9"/>
      <c r="B161" s="13"/>
      <c r="C161" s="13"/>
      <c r="D161" s="14"/>
      <c r="E161" s="20">
        <v>414</v>
      </c>
      <c r="F161" s="50" t="s">
        <v>105</v>
      </c>
      <c r="G161" s="37">
        <v>660</v>
      </c>
      <c r="H161" s="37">
        <v>463</v>
      </c>
      <c r="I161" s="37"/>
      <c r="J161" s="75">
        <v>462.26400000000001</v>
      </c>
      <c r="K161" s="35">
        <f>'1.05.'!M151</f>
        <v>0</v>
      </c>
      <c r="L161" s="71"/>
      <c r="M161" s="93">
        <f t="shared" si="70"/>
        <v>0</v>
      </c>
      <c r="N161" s="93">
        <f>I161-M161</f>
        <v>0</v>
      </c>
      <c r="O161" s="70"/>
      <c r="P161" s="71">
        <f t="shared" si="78"/>
        <v>462.26400000000001</v>
      </c>
      <c r="Q161" s="35">
        <f t="shared" si="79"/>
        <v>0.73599999999999</v>
      </c>
      <c r="R161" s="72">
        <v>1103712</v>
      </c>
      <c r="S161" s="72">
        <f t="shared" si="80"/>
        <v>660</v>
      </c>
    </row>
    <row r="162" spans="1:20" s="73" customFormat="1">
      <c r="A162" s="8"/>
      <c r="B162" s="8" t="s">
        <v>14</v>
      </c>
      <c r="C162" s="8"/>
      <c r="D162" s="21"/>
      <c r="E162" s="21"/>
      <c r="F162" s="139" t="s">
        <v>120</v>
      </c>
      <c r="G162" s="59">
        <f>G163+G184</f>
        <v>334783</v>
      </c>
      <c r="H162" s="59">
        <f t="shared" ref="H162:N162" si="82">H163+H184</f>
        <v>223947.1</v>
      </c>
      <c r="I162" s="59">
        <f t="shared" si="82"/>
        <v>210119.20000000004</v>
      </c>
      <c r="J162" s="29">
        <f t="shared" si="82"/>
        <v>223101.17609999998</v>
      </c>
      <c r="K162" s="29">
        <f t="shared" si="82"/>
        <v>18632.26413</v>
      </c>
      <c r="L162" s="29">
        <f t="shared" si="82"/>
        <v>37521.523370000003</v>
      </c>
      <c r="M162" s="29">
        <f t="shared" si="82"/>
        <v>210116.79903999998</v>
      </c>
      <c r="N162" s="29">
        <f t="shared" si="82"/>
        <v>2.4009600000005094</v>
      </c>
      <c r="O162" s="68">
        <f t="shared" si="52"/>
        <v>99.998857334313058</v>
      </c>
      <c r="P162" s="35">
        <f t="shared" si="78"/>
        <v>12984.377059999999</v>
      </c>
      <c r="Q162" s="35">
        <f t="shared" si="79"/>
        <v>845.92390000002342</v>
      </c>
      <c r="R162" s="72">
        <v>1103713</v>
      </c>
      <c r="S162" s="72">
        <f t="shared" si="80"/>
        <v>124666.20096000002</v>
      </c>
      <c r="T162" s="62">
        <f t="shared" ref="T162:T243" si="83">G162-J162</f>
        <v>111681.82390000002</v>
      </c>
    </row>
    <row r="163" spans="1:20" ht="25.5">
      <c r="A163" s="8"/>
      <c r="B163" s="8"/>
      <c r="C163" s="17" t="s">
        <v>38</v>
      </c>
      <c r="D163" s="17"/>
      <c r="E163" s="21"/>
      <c r="F163" s="139" t="s">
        <v>121</v>
      </c>
      <c r="G163" s="42">
        <f>G164</f>
        <v>316128</v>
      </c>
      <c r="H163" s="42">
        <f t="shared" ref="H163:N163" si="84">H164</f>
        <v>214679.7</v>
      </c>
      <c r="I163" s="42">
        <f t="shared" si="84"/>
        <v>202589.10000000003</v>
      </c>
      <c r="J163" s="29">
        <f t="shared" si="84"/>
        <v>213833.85529999997</v>
      </c>
      <c r="K163" s="29">
        <f>'1.02.'!M143</f>
        <v>18632.26413</v>
      </c>
      <c r="L163" s="29">
        <f t="shared" si="84"/>
        <v>29991.502570000004</v>
      </c>
      <c r="M163" s="29">
        <f t="shared" si="84"/>
        <v>202586.77823999999</v>
      </c>
      <c r="N163" s="29">
        <f t="shared" si="84"/>
        <v>2.3217599999998981</v>
      </c>
      <c r="O163" s="68">
        <f t="shared" si="52"/>
        <v>99.998853956111134</v>
      </c>
      <c r="P163" s="71">
        <f t="shared" si="78"/>
        <v>11247.077059999981</v>
      </c>
      <c r="Q163" s="35">
        <f t="shared" si="79"/>
        <v>845.84470000004512</v>
      </c>
      <c r="R163" s="72">
        <v>1103714</v>
      </c>
      <c r="S163" s="72">
        <f t="shared" si="80"/>
        <v>113541.22176000001</v>
      </c>
      <c r="T163" s="62">
        <f t="shared" si="83"/>
        <v>102294.14470000003</v>
      </c>
    </row>
    <row r="164" spans="1:20">
      <c r="A164" s="8"/>
      <c r="B164" s="8"/>
      <c r="C164" s="17"/>
      <c r="D164" s="17" t="s">
        <v>7</v>
      </c>
      <c r="E164" s="10"/>
      <c r="F164" s="140" t="s">
        <v>85</v>
      </c>
      <c r="G164" s="40">
        <f>SUM(G165:G183)</f>
        <v>316128</v>
      </c>
      <c r="H164" s="40">
        <f>SUM(H165:H183)</f>
        <v>214679.7</v>
      </c>
      <c r="I164" s="40">
        <f>SUM(I165:I183)</f>
        <v>202589.10000000003</v>
      </c>
      <c r="J164" s="24">
        <f>SUM(J165:J183)</f>
        <v>213833.85529999997</v>
      </c>
      <c r="K164" s="24">
        <f t="shared" ref="K164:N164" si="85">SUM(K165:K183)</f>
        <v>172595.27566999997</v>
      </c>
      <c r="L164" s="24">
        <f t="shared" si="85"/>
        <v>29991.502570000004</v>
      </c>
      <c r="M164" s="24">
        <f t="shared" si="85"/>
        <v>202586.77823999999</v>
      </c>
      <c r="N164" s="24">
        <f t="shared" si="85"/>
        <v>2.3217599999998981</v>
      </c>
      <c r="O164" s="66">
        <f t="shared" si="52"/>
        <v>99.998853956111134</v>
      </c>
      <c r="P164" s="71">
        <f t="shared" si="78"/>
        <v>11247.077059999981</v>
      </c>
      <c r="Q164" s="35">
        <f t="shared" si="79"/>
        <v>845.84470000004512</v>
      </c>
      <c r="R164" s="72">
        <v>1103715</v>
      </c>
      <c r="S164" s="72">
        <f t="shared" si="80"/>
        <v>113541.22176000001</v>
      </c>
      <c r="T164" s="62">
        <f t="shared" si="83"/>
        <v>102294.14470000003</v>
      </c>
    </row>
    <row r="165" spans="1:20">
      <c r="A165" s="8"/>
      <c r="B165" s="9"/>
      <c r="C165" s="9"/>
      <c r="D165" s="69"/>
      <c r="E165" s="69">
        <v>111</v>
      </c>
      <c r="F165" s="136" t="s">
        <v>86</v>
      </c>
      <c r="G165" s="26">
        <f>216606-220-220</f>
        <v>216166</v>
      </c>
      <c r="H165" s="26">
        <v>140166</v>
      </c>
      <c r="I165" s="26">
        <v>140166</v>
      </c>
      <c r="J165" s="105">
        <f t="shared" ref="J165:J177" si="86">M165</f>
        <v>140166</v>
      </c>
      <c r="K165" s="35">
        <f>'1.08'!M165</f>
        <v>120555.65</v>
      </c>
      <c r="L165" s="27">
        <v>19610.349999999999</v>
      </c>
      <c r="M165" s="93">
        <f t="shared" si="70"/>
        <v>140166</v>
      </c>
      <c r="N165" s="93">
        <f t="shared" si="71"/>
        <v>0</v>
      </c>
      <c r="O165" s="70">
        <f t="shared" si="52"/>
        <v>100</v>
      </c>
      <c r="P165" s="71">
        <f t="shared" si="78"/>
        <v>0</v>
      </c>
      <c r="Q165" s="35">
        <f t="shared" si="79"/>
        <v>0</v>
      </c>
      <c r="R165" s="72">
        <v>1103716</v>
      </c>
      <c r="S165" s="72">
        <f t="shared" si="80"/>
        <v>76000</v>
      </c>
      <c r="T165" s="62">
        <f t="shared" si="83"/>
        <v>76000</v>
      </c>
    </row>
    <row r="166" spans="1:20">
      <c r="A166" s="8"/>
      <c r="B166" s="9"/>
      <c r="C166" s="9"/>
      <c r="D166" s="69"/>
      <c r="E166" s="69">
        <v>112</v>
      </c>
      <c r="F166" s="136" t="s">
        <v>87</v>
      </c>
      <c r="G166" s="26">
        <f>220+220</f>
        <v>440</v>
      </c>
      <c r="H166" s="26">
        <v>440</v>
      </c>
      <c r="I166" s="26">
        <v>440</v>
      </c>
      <c r="J166" s="105">
        <f t="shared" si="86"/>
        <v>440</v>
      </c>
      <c r="K166" s="35">
        <f>'1.08'!M166</f>
        <v>440</v>
      </c>
      <c r="L166" s="27"/>
      <c r="M166" s="93">
        <f t="shared" si="70"/>
        <v>440</v>
      </c>
      <c r="N166" s="93">
        <f t="shared" si="71"/>
        <v>0</v>
      </c>
      <c r="O166" s="70">
        <f t="shared" si="52"/>
        <v>100</v>
      </c>
      <c r="P166" s="71">
        <f t="shared" si="78"/>
        <v>0</v>
      </c>
      <c r="Q166" s="35">
        <f t="shared" si="79"/>
        <v>0</v>
      </c>
      <c r="R166" s="72">
        <v>1103717</v>
      </c>
      <c r="S166" s="72">
        <f t="shared" si="80"/>
        <v>0</v>
      </c>
    </row>
    <row r="167" spans="1:20">
      <c r="A167" s="8"/>
      <c r="B167" s="9"/>
      <c r="C167" s="9"/>
      <c r="D167" s="69"/>
      <c r="E167" s="76">
        <v>113</v>
      </c>
      <c r="F167" s="136" t="s">
        <v>88</v>
      </c>
      <c r="G167" s="26">
        <v>8519</v>
      </c>
      <c r="H167" s="26">
        <v>6001</v>
      </c>
      <c r="I167" s="26">
        <v>6001</v>
      </c>
      <c r="J167" s="105">
        <f t="shared" si="86"/>
        <v>6001</v>
      </c>
      <c r="K167" s="35">
        <f>'1.08'!M167</f>
        <v>4301</v>
      </c>
      <c r="L167" s="27">
        <v>1700</v>
      </c>
      <c r="M167" s="93">
        <f t="shared" si="70"/>
        <v>6001</v>
      </c>
      <c r="N167" s="93">
        <f t="shared" si="71"/>
        <v>0</v>
      </c>
      <c r="O167" s="70">
        <f t="shared" si="52"/>
        <v>100</v>
      </c>
      <c r="P167" s="71">
        <f t="shared" si="78"/>
        <v>0</v>
      </c>
      <c r="Q167" s="35">
        <f t="shared" si="79"/>
        <v>0</v>
      </c>
      <c r="R167" s="72">
        <v>1103718</v>
      </c>
      <c r="S167" s="72">
        <f t="shared" si="80"/>
        <v>2518</v>
      </c>
      <c r="T167" s="62">
        <f t="shared" si="83"/>
        <v>2518</v>
      </c>
    </row>
    <row r="168" spans="1:20">
      <c r="A168" s="8"/>
      <c r="B168" s="9"/>
      <c r="C168" s="9"/>
      <c r="D168" s="69"/>
      <c r="E168" s="69">
        <v>116</v>
      </c>
      <c r="F168" s="136" t="s">
        <v>89</v>
      </c>
      <c r="G168" s="26">
        <v>2134</v>
      </c>
      <c r="H168" s="26">
        <v>1380</v>
      </c>
      <c r="I168" s="26">
        <v>1380</v>
      </c>
      <c r="J168" s="105">
        <f t="shared" si="86"/>
        <v>1380</v>
      </c>
      <c r="K168" s="35">
        <f>'1.08'!M168</f>
        <v>1190</v>
      </c>
      <c r="L168" s="27">
        <v>190</v>
      </c>
      <c r="M168" s="93">
        <f>K168+L168</f>
        <v>1380</v>
      </c>
      <c r="N168" s="93">
        <f>I168-M168</f>
        <v>0</v>
      </c>
      <c r="O168" s="70">
        <f>M168/I168*100</f>
        <v>100</v>
      </c>
      <c r="P168" s="71">
        <f t="shared" si="78"/>
        <v>0</v>
      </c>
      <c r="Q168" s="35">
        <f t="shared" si="79"/>
        <v>0</v>
      </c>
      <c r="R168" s="72">
        <v>1103719</v>
      </c>
      <c r="S168" s="72">
        <f t="shared" si="80"/>
        <v>754</v>
      </c>
    </row>
    <row r="169" spans="1:20">
      <c r="A169" s="8"/>
      <c r="B169" s="9"/>
      <c r="C169" s="9"/>
      <c r="D169" s="69"/>
      <c r="E169" s="69">
        <v>121</v>
      </c>
      <c r="F169" s="136" t="s">
        <v>90</v>
      </c>
      <c r="G169" s="26">
        <f>11697+550</f>
        <v>12247</v>
      </c>
      <c r="H169" s="26">
        <v>8310</v>
      </c>
      <c r="I169" s="26">
        <v>8310</v>
      </c>
      <c r="J169" s="105">
        <f t="shared" si="86"/>
        <v>8310</v>
      </c>
      <c r="K169" s="35">
        <f>'1.08'!M169</f>
        <v>7030</v>
      </c>
      <c r="L169" s="27">
        <v>1280</v>
      </c>
      <c r="M169" s="93">
        <f t="shared" si="70"/>
        <v>8310</v>
      </c>
      <c r="N169" s="93">
        <f t="shared" si="71"/>
        <v>0</v>
      </c>
      <c r="O169" s="70">
        <f t="shared" ref="O169:O239" si="87">M169/I169*100</f>
        <v>100</v>
      </c>
      <c r="P169" s="71">
        <f t="shared" si="78"/>
        <v>0</v>
      </c>
      <c r="Q169" s="35">
        <f t="shared" si="79"/>
        <v>0</v>
      </c>
      <c r="R169" s="72">
        <v>1103720</v>
      </c>
      <c r="S169" s="72">
        <f t="shared" si="80"/>
        <v>3937</v>
      </c>
      <c r="T169" s="62">
        <f t="shared" si="83"/>
        <v>3937</v>
      </c>
    </row>
    <row r="170" spans="1:20">
      <c r="A170" s="8"/>
      <c r="B170" s="9"/>
      <c r="C170" s="9"/>
      <c r="D170" s="69"/>
      <c r="E170" s="69">
        <v>122</v>
      </c>
      <c r="F170" s="136" t="s">
        <v>91</v>
      </c>
      <c r="G170" s="26">
        <f>9747-350</f>
        <v>9397</v>
      </c>
      <c r="H170" s="26">
        <v>5427</v>
      </c>
      <c r="I170" s="26">
        <v>5427</v>
      </c>
      <c r="J170" s="105">
        <f t="shared" si="86"/>
        <v>5427</v>
      </c>
      <c r="K170" s="35">
        <f>'1.08'!M170</f>
        <v>4745</v>
      </c>
      <c r="L170" s="27">
        <v>682</v>
      </c>
      <c r="M170" s="93">
        <f t="shared" si="70"/>
        <v>5427</v>
      </c>
      <c r="N170" s="93">
        <f t="shared" si="71"/>
        <v>0</v>
      </c>
      <c r="O170" s="70">
        <f t="shared" si="87"/>
        <v>100</v>
      </c>
      <c r="P170" s="71">
        <f t="shared" si="78"/>
        <v>0</v>
      </c>
      <c r="Q170" s="35">
        <f t="shared" si="79"/>
        <v>0</v>
      </c>
      <c r="R170" s="72">
        <v>1103721</v>
      </c>
      <c r="S170" s="72">
        <f t="shared" si="80"/>
        <v>3970</v>
      </c>
      <c r="T170" s="62">
        <f t="shared" si="83"/>
        <v>3970</v>
      </c>
    </row>
    <row r="171" spans="1:20">
      <c r="A171" s="8"/>
      <c r="B171" s="9"/>
      <c r="C171" s="9"/>
      <c r="D171" s="69"/>
      <c r="E171" s="69">
        <v>123</v>
      </c>
      <c r="F171" s="136" t="s">
        <v>92</v>
      </c>
      <c r="G171" s="26">
        <v>235</v>
      </c>
      <c r="H171" s="26">
        <v>191.1</v>
      </c>
      <c r="I171" s="26">
        <v>191.1</v>
      </c>
      <c r="J171" s="105">
        <f t="shared" si="86"/>
        <v>191.00076999999999</v>
      </c>
      <c r="K171" s="35">
        <f>'1.08'!M171</f>
        <v>91.524770000000004</v>
      </c>
      <c r="L171" s="27">
        <v>99.475999999999999</v>
      </c>
      <c r="M171" s="93">
        <f t="shared" si="70"/>
        <v>191.00076999999999</v>
      </c>
      <c r="N171" s="93">
        <f t="shared" si="71"/>
        <v>9.9230000000005703E-2</v>
      </c>
      <c r="O171" s="70">
        <f t="shared" si="87"/>
        <v>99.948074306645722</v>
      </c>
      <c r="P171" s="71">
        <f t="shared" si="78"/>
        <v>0</v>
      </c>
      <c r="Q171" s="35">
        <f t="shared" si="79"/>
        <v>9.9230000000005703E-2</v>
      </c>
      <c r="R171" s="72">
        <v>1103722</v>
      </c>
      <c r="S171" s="72">
        <f t="shared" si="80"/>
        <v>43.999230000000011</v>
      </c>
      <c r="T171" s="62">
        <f t="shared" si="83"/>
        <v>43.999230000000011</v>
      </c>
    </row>
    <row r="172" spans="1:20">
      <c r="A172" s="9"/>
      <c r="B172" s="9"/>
      <c r="C172" s="9"/>
      <c r="D172" s="69"/>
      <c r="E172" s="69">
        <v>124</v>
      </c>
      <c r="F172" s="136" t="s">
        <v>93</v>
      </c>
      <c r="G172" s="26">
        <f>6378-200</f>
        <v>6178</v>
      </c>
      <c r="H172" s="26">
        <v>3420</v>
      </c>
      <c r="I172" s="26">
        <v>3420</v>
      </c>
      <c r="J172" s="105">
        <f t="shared" si="86"/>
        <v>3420</v>
      </c>
      <c r="K172" s="35">
        <f>'1.08'!M172</f>
        <v>2963.4749999999999</v>
      </c>
      <c r="L172" s="27">
        <v>456.52499999999998</v>
      </c>
      <c r="M172" s="93">
        <f t="shared" si="70"/>
        <v>3420</v>
      </c>
      <c r="N172" s="93">
        <f t="shared" si="71"/>
        <v>0</v>
      </c>
      <c r="O172" s="70">
        <f t="shared" si="87"/>
        <v>100</v>
      </c>
      <c r="P172" s="71">
        <f t="shared" si="78"/>
        <v>0</v>
      </c>
      <c r="Q172" s="35">
        <f t="shared" si="79"/>
        <v>0</v>
      </c>
      <c r="R172" s="72">
        <v>1103723</v>
      </c>
      <c r="S172" s="72">
        <f t="shared" si="80"/>
        <v>2758</v>
      </c>
      <c r="T172" s="62">
        <f t="shared" si="83"/>
        <v>2758</v>
      </c>
    </row>
    <row r="173" spans="1:20" s="73" customFormat="1">
      <c r="A173" s="9"/>
      <c r="B173" s="9"/>
      <c r="C173" s="9"/>
      <c r="D173" s="69"/>
      <c r="E173" s="69">
        <v>141</v>
      </c>
      <c r="F173" s="136" t="s">
        <v>116</v>
      </c>
      <c r="G173" s="26">
        <v>20147</v>
      </c>
      <c r="H173" s="26">
        <v>18927.400000000001</v>
      </c>
      <c r="I173" s="26">
        <v>10700</v>
      </c>
      <c r="J173" s="105">
        <v>18927.335200000001</v>
      </c>
      <c r="K173" s="35">
        <f>'1.08'!M173</f>
        <v>9200</v>
      </c>
      <c r="L173" s="27">
        <v>1500</v>
      </c>
      <c r="M173" s="93">
        <f t="shared" si="70"/>
        <v>10700</v>
      </c>
      <c r="N173" s="93">
        <f t="shared" si="71"/>
        <v>0</v>
      </c>
      <c r="O173" s="70">
        <f t="shared" si="87"/>
        <v>100</v>
      </c>
      <c r="P173" s="71">
        <f t="shared" si="78"/>
        <v>8227.3352000000014</v>
      </c>
      <c r="Q173" s="35">
        <f t="shared" si="79"/>
        <v>6.4800000000104774E-2</v>
      </c>
      <c r="R173" s="72">
        <v>1103724</v>
      </c>
      <c r="S173" s="72">
        <f t="shared" si="80"/>
        <v>9447</v>
      </c>
      <c r="T173" s="62">
        <f t="shared" si="83"/>
        <v>1219.6647999999986</v>
      </c>
    </row>
    <row r="174" spans="1:20">
      <c r="A174" s="9"/>
      <c r="B174" s="9"/>
      <c r="C174" s="9"/>
      <c r="D174" s="69"/>
      <c r="E174" s="69">
        <v>142</v>
      </c>
      <c r="F174" s="136" t="s">
        <v>122</v>
      </c>
      <c r="G174" s="26">
        <v>2651</v>
      </c>
      <c r="H174" s="26">
        <v>1650.1</v>
      </c>
      <c r="I174" s="26">
        <v>1650.1</v>
      </c>
      <c r="J174" s="105">
        <v>1650.0236</v>
      </c>
      <c r="K174" s="35">
        <f>'1.08'!M174</f>
        <v>1607.1586</v>
      </c>
      <c r="L174" s="27">
        <v>42.865000000000002</v>
      </c>
      <c r="M174" s="93">
        <f t="shared" si="70"/>
        <v>1650.0236</v>
      </c>
      <c r="N174" s="93">
        <f t="shared" si="71"/>
        <v>7.639999999992142E-2</v>
      </c>
      <c r="O174" s="70">
        <f t="shared" si="87"/>
        <v>99.995369977577127</v>
      </c>
      <c r="P174" s="71">
        <f t="shared" si="78"/>
        <v>0</v>
      </c>
      <c r="Q174" s="35">
        <f t="shared" si="79"/>
        <v>7.639999999992142E-2</v>
      </c>
      <c r="R174" s="72">
        <v>1103725</v>
      </c>
      <c r="S174" s="72">
        <f t="shared" si="80"/>
        <v>1000.9764</v>
      </c>
      <c r="T174" s="62">
        <f t="shared" si="83"/>
        <v>1000.9764</v>
      </c>
    </row>
    <row r="175" spans="1:20">
      <c r="A175" s="9"/>
      <c r="B175" s="9"/>
      <c r="C175" s="9"/>
      <c r="D175" s="69"/>
      <c r="E175" s="69">
        <v>144</v>
      </c>
      <c r="F175" s="136" t="s">
        <v>97</v>
      </c>
      <c r="G175" s="26">
        <f>1400+168.8</f>
        <v>1568.8</v>
      </c>
      <c r="H175" s="26">
        <v>1400</v>
      </c>
      <c r="I175" s="26">
        <v>1400</v>
      </c>
      <c r="J175" s="105">
        <v>1399.8342700000001</v>
      </c>
      <c r="K175" s="35">
        <f>'1.08'!M175</f>
        <v>1399.8342700000001</v>
      </c>
      <c r="L175" s="27"/>
      <c r="M175" s="93">
        <f t="shared" si="70"/>
        <v>1399.8342700000001</v>
      </c>
      <c r="N175" s="93">
        <f t="shared" si="71"/>
        <v>0.16572999999993954</v>
      </c>
      <c r="O175" s="70">
        <f t="shared" si="87"/>
        <v>99.988162142857149</v>
      </c>
      <c r="P175" s="71">
        <f t="shared" si="78"/>
        <v>0</v>
      </c>
      <c r="Q175" s="35">
        <f t="shared" si="79"/>
        <v>0.16572999999993954</v>
      </c>
      <c r="R175" s="72">
        <v>1103726</v>
      </c>
      <c r="S175" s="72">
        <f t="shared" si="80"/>
        <v>168.96572999999989</v>
      </c>
      <c r="T175" s="62">
        <f t="shared" si="83"/>
        <v>168.96572999999989</v>
      </c>
    </row>
    <row r="176" spans="1:20">
      <c r="A176" s="9"/>
      <c r="B176" s="9"/>
      <c r="C176" s="9"/>
      <c r="D176" s="69"/>
      <c r="E176" s="69">
        <v>149</v>
      </c>
      <c r="F176" s="136" t="s">
        <v>98</v>
      </c>
      <c r="G176" s="26">
        <f>9495-168.8</f>
        <v>9326.2000000000007</v>
      </c>
      <c r="H176" s="26">
        <v>6976.5</v>
      </c>
      <c r="I176" s="26">
        <v>6976.5</v>
      </c>
      <c r="J176" s="105">
        <v>6976.5</v>
      </c>
      <c r="K176" s="35">
        <f>'1.08'!M176</f>
        <v>5353.50756</v>
      </c>
      <c r="L176" s="27">
        <v>1622.99244</v>
      </c>
      <c r="M176" s="93">
        <f t="shared" si="70"/>
        <v>6976.5</v>
      </c>
      <c r="N176" s="93">
        <f t="shared" si="71"/>
        <v>0</v>
      </c>
      <c r="O176" s="70">
        <f t="shared" si="87"/>
        <v>100</v>
      </c>
      <c r="P176" s="71">
        <f t="shared" si="78"/>
        <v>0</v>
      </c>
      <c r="Q176" s="35">
        <f t="shared" si="79"/>
        <v>0</v>
      </c>
      <c r="R176" s="72">
        <v>1103727</v>
      </c>
      <c r="S176" s="72">
        <f t="shared" si="80"/>
        <v>2349.7000000000007</v>
      </c>
      <c r="T176" s="62">
        <f t="shared" si="83"/>
        <v>2349.7000000000007</v>
      </c>
    </row>
    <row r="177" spans="1:20">
      <c r="A177" s="9"/>
      <c r="B177" s="9"/>
      <c r="C177" s="9"/>
      <c r="D177" s="69"/>
      <c r="E177" s="69">
        <v>151</v>
      </c>
      <c r="F177" s="136" t="s">
        <v>99</v>
      </c>
      <c r="G177" s="26">
        <v>17588</v>
      </c>
      <c r="H177" s="26">
        <v>11900</v>
      </c>
      <c r="I177" s="26">
        <v>11900</v>
      </c>
      <c r="J177" s="105">
        <f t="shared" si="86"/>
        <v>11900</v>
      </c>
      <c r="K177" s="35">
        <f>'1.08'!M177</f>
        <v>10400</v>
      </c>
      <c r="L177" s="27">
        <v>1500</v>
      </c>
      <c r="M177" s="93">
        <f t="shared" si="70"/>
        <v>11900</v>
      </c>
      <c r="N177" s="93">
        <f t="shared" si="71"/>
        <v>0</v>
      </c>
      <c r="O177" s="70">
        <f t="shared" si="87"/>
        <v>100</v>
      </c>
      <c r="P177" s="71">
        <f t="shared" si="78"/>
        <v>0</v>
      </c>
      <c r="Q177" s="35">
        <f t="shared" si="79"/>
        <v>0</v>
      </c>
      <c r="R177" s="72">
        <v>1103728</v>
      </c>
      <c r="S177" s="72">
        <f t="shared" si="80"/>
        <v>5688</v>
      </c>
      <c r="T177" s="62">
        <f t="shared" si="83"/>
        <v>5688</v>
      </c>
    </row>
    <row r="178" spans="1:20">
      <c r="A178" s="9"/>
      <c r="B178" s="9"/>
      <c r="C178" s="9"/>
      <c r="D178" s="69"/>
      <c r="E178" s="69">
        <v>152</v>
      </c>
      <c r="F178" s="136" t="s">
        <v>100</v>
      </c>
      <c r="G178" s="26">
        <v>1401</v>
      </c>
      <c r="H178" s="26">
        <v>1401</v>
      </c>
      <c r="I178" s="26">
        <v>547.1</v>
      </c>
      <c r="J178" s="105">
        <v>956.68</v>
      </c>
      <c r="K178" s="35">
        <f>'1.08'!M178</f>
        <v>471.9296700000001</v>
      </c>
      <c r="L178" s="27">
        <v>74.590130000000002</v>
      </c>
      <c r="M178" s="93">
        <f t="shared" si="70"/>
        <v>546.51980000000015</v>
      </c>
      <c r="N178" s="93">
        <f t="shared" si="71"/>
        <v>0.58019999999987704</v>
      </c>
      <c r="O178" s="70">
        <f t="shared" si="87"/>
        <v>99.893949917748145</v>
      </c>
      <c r="P178" s="71">
        <f t="shared" si="78"/>
        <v>410.1601999999998</v>
      </c>
      <c r="Q178" s="35">
        <f t="shared" si="79"/>
        <v>444.32000000000005</v>
      </c>
      <c r="R178" s="72">
        <v>1103729</v>
      </c>
      <c r="S178" s="72">
        <f t="shared" si="80"/>
        <v>854.48019999999985</v>
      </c>
      <c r="T178" s="62">
        <f t="shared" si="83"/>
        <v>444.32000000000005</v>
      </c>
    </row>
    <row r="179" spans="1:20">
      <c r="A179" s="9"/>
      <c r="B179" s="9"/>
      <c r="C179" s="9"/>
      <c r="D179" s="69"/>
      <c r="E179" s="69">
        <v>158</v>
      </c>
      <c r="F179" s="136" t="s">
        <v>101</v>
      </c>
      <c r="G179" s="26">
        <f>730+1099.4</f>
        <v>1829.4</v>
      </c>
      <c r="H179" s="26">
        <v>1829.4</v>
      </c>
      <c r="I179" s="26">
        <v>995.2</v>
      </c>
      <c r="J179" s="105">
        <v>1429.1756</v>
      </c>
      <c r="K179" s="35">
        <f>'1.08'!M179</f>
        <v>928.13779999999997</v>
      </c>
      <c r="L179" s="27">
        <v>66.453999999999994</v>
      </c>
      <c r="M179" s="93">
        <f t="shared" si="70"/>
        <v>994.59179999999992</v>
      </c>
      <c r="N179" s="93">
        <f t="shared" si="71"/>
        <v>0.60820000000012442</v>
      </c>
      <c r="O179" s="70">
        <f t="shared" si="87"/>
        <v>99.938886655948551</v>
      </c>
      <c r="P179" s="71">
        <f t="shared" si="78"/>
        <v>434.58380000000011</v>
      </c>
      <c r="Q179" s="35">
        <f t="shared" si="79"/>
        <v>400.22440000000006</v>
      </c>
      <c r="R179" s="72">
        <v>1103730</v>
      </c>
      <c r="S179" s="72">
        <f t="shared" si="80"/>
        <v>834.80820000000017</v>
      </c>
      <c r="T179" s="62">
        <f t="shared" si="83"/>
        <v>400.22440000000006</v>
      </c>
    </row>
    <row r="180" spans="1:20">
      <c r="A180" s="9"/>
      <c r="B180" s="9"/>
      <c r="C180" s="9"/>
      <c r="D180" s="69"/>
      <c r="E180" s="69">
        <v>159</v>
      </c>
      <c r="F180" s="136" t="s">
        <v>84</v>
      </c>
      <c r="G180" s="26">
        <f>6564-1099.4</f>
        <v>5464.6</v>
      </c>
      <c r="H180" s="26">
        <v>4509</v>
      </c>
      <c r="I180" s="26">
        <v>2333.9</v>
      </c>
      <c r="J180" s="105">
        <v>4508.89786</v>
      </c>
      <c r="K180" s="35">
        <f>'1.08'!M180</f>
        <v>1464.9</v>
      </c>
      <c r="L180" s="27">
        <v>869</v>
      </c>
      <c r="M180" s="93">
        <f t="shared" si="70"/>
        <v>2333.9</v>
      </c>
      <c r="N180" s="93">
        <f t="shared" si="71"/>
        <v>0</v>
      </c>
      <c r="O180" s="70">
        <f t="shared" si="87"/>
        <v>100</v>
      </c>
      <c r="P180" s="71">
        <f t="shared" si="78"/>
        <v>2174.9978599999999</v>
      </c>
      <c r="Q180" s="35">
        <f t="shared" si="79"/>
        <v>0.10213999999996304</v>
      </c>
      <c r="R180" s="72">
        <v>1103731</v>
      </c>
      <c r="S180" s="72">
        <f t="shared" si="80"/>
        <v>3130.7000000000003</v>
      </c>
      <c r="T180" s="62">
        <f t="shared" si="83"/>
        <v>955.70214000000033</v>
      </c>
    </row>
    <row r="181" spans="1:20">
      <c r="A181" s="9"/>
      <c r="B181" s="9"/>
      <c r="C181" s="9"/>
      <c r="D181" s="69"/>
      <c r="E181" s="69">
        <v>161</v>
      </c>
      <c r="F181" s="136" t="s">
        <v>102</v>
      </c>
      <c r="G181" s="26">
        <v>816</v>
      </c>
      <c r="H181" s="26">
        <v>741.2</v>
      </c>
      <c r="I181" s="26">
        <v>741.2</v>
      </c>
      <c r="J181" s="105">
        <f t="shared" ref="J181:J183" si="88">M181</f>
        <v>740.40800000000002</v>
      </c>
      <c r="K181" s="35">
        <f>'1.08'!M181</f>
        <v>443.15800000000002</v>
      </c>
      <c r="L181" s="27">
        <v>297.25</v>
      </c>
      <c r="M181" s="93">
        <f t="shared" si="70"/>
        <v>740.40800000000002</v>
      </c>
      <c r="N181" s="93">
        <f t="shared" si="71"/>
        <v>0.79200000000003001</v>
      </c>
      <c r="O181" s="70">
        <f t="shared" si="87"/>
        <v>99.893146249325412</v>
      </c>
      <c r="P181" s="71">
        <f t="shared" si="78"/>
        <v>0</v>
      </c>
      <c r="Q181" s="35">
        <f t="shared" si="79"/>
        <v>0.79200000000003001</v>
      </c>
      <c r="R181" s="72">
        <v>1103732</v>
      </c>
      <c r="S181" s="72">
        <f t="shared" si="80"/>
        <v>75.591999999999985</v>
      </c>
      <c r="T181" s="62">
        <f t="shared" si="83"/>
        <v>75.591999999999985</v>
      </c>
    </row>
    <row r="182" spans="1:20">
      <c r="A182" s="9"/>
      <c r="B182" s="9"/>
      <c r="C182" s="9"/>
      <c r="D182" s="69"/>
      <c r="E182" s="69">
        <v>168</v>
      </c>
      <c r="F182" s="136" t="s">
        <v>167</v>
      </c>
      <c r="G182" s="26">
        <v>20</v>
      </c>
      <c r="H182" s="26">
        <v>10</v>
      </c>
      <c r="I182" s="26">
        <v>10</v>
      </c>
      <c r="J182" s="105">
        <f t="shared" si="88"/>
        <v>10</v>
      </c>
      <c r="K182" s="35">
        <f>'1.08'!M182</f>
        <v>10</v>
      </c>
      <c r="L182" s="27"/>
      <c r="M182" s="93">
        <f t="shared" si="70"/>
        <v>10</v>
      </c>
      <c r="N182" s="93">
        <f t="shared" si="71"/>
        <v>0</v>
      </c>
      <c r="O182" s="70">
        <f t="shared" si="87"/>
        <v>100</v>
      </c>
      <c r="P182" s="71">
        <f t="shared" si="78"/>
        <v>0</v>
      </c>
      <c r="Q182" s="35">
        <f t="shared" si="79"/>
        <v>0</v>
      </c>
      <c r="R182" s="72">
        <v>1103733</v>
      </c>
      <c r="S182" s="72">
        <f t="shared" si="80"/>
        <v>10</v>
      </c>
    </row>
    <row r="183" spans="1:20">
      <c r="A183" s="9"/>
      <c r="B183" s="9"/>
      <c r="C183" s="9"/>
      <c r="D183" s="69"/>
      <c r="E183" s="69">
        <v>169</v>
      </c>
      <c r="F183" s="136" t="s">
        <v>103</v>
      </c>
      <c r="G183" s="26">
        <f>20-20</f>
        <v>0</v>
      </c>
      <c r="H183" s="26"/>
      <c r="I183" s="26"/>
      <c r="J183" s="105">
        <f t="shared" si="88"/>
        <v>0</v>
      </c>
      <c r="K183" s="35">
        <f>'1.08'!M183</f>
        <v>0</v>
      </c>
      <c r="L183" s="27"/>
      <c r="M183" s="93">
        <f>K183+L183</f>
        <v>0</v>
      </c>
      <c r="N183" s="93">
        <f t="shared" si="71"/>
        <v>0</v>
      </c>
      <c r="O183" s="70" t="e">
        <f t="shared" si="87"/>
        <v>#DIV/0!</v>
      </c>
      <c r="P183" s="71">
        <f t="shared" si="78"/>
        <v>0</v>
      </c>
      <c r="Q183" s="35">
        <f t="shared" si="79"/>
        <v>0</v>
      </c>
      <c r="R183" s="72">
        <v>1103733</v>
      </c>
      <c r="S183" s="72">
        <f t="shared" si="80"/>
        <v>0</v>
      </c>
      <c r="T183" s="62">
        <f t="shared" si="83"/>
        <v>0</v>
      </c>
    </row>
    <row r="184" spans="1:20" ht="25.5">
      <c r="A184" s="100"/>
      <c r="B184" s="15"/>
      <c r="C184" s="57" t="s">
        <v>43</v>
      </c>
      <c r="D184" s="16"/>
      <c r="E184" s="20"/>
      <c r="F184" s="139" t="s">
        <v>119</v>
      </c>
      <c r="G184" s="59">
        <f t="shared" ref="G184:N184" si="89">G185</f>
        <v>18655</v>
      </c>
      <c r="H184" s="59">
        <f t="shared" si="89"/>
        <v>9267.4</v>
      </c>
      <c r="I184" s="59">
        <f t="shared" si="89"/>
        <v>7530.1</v>
      </c>
      <c r="J184" s="29">
        <f t="shared" si="89"/>
        <v>9267.3208000000013</v>
      </c>
      <c r="K184" s="35">
        <f>'1.02.'!M163</f>
        <v>0</v>
      </c>
      <c r="L184" s="59">
        <f t="shared" si="89"/>
        <v>7530.0207999999993</v>
      </c>
      <c r="M184" s="29">
        <f t="shared" si="89"/>
        <v>7530.0207999999993</v>
      </c>
      <c r="N184" s="29">
        <f t="shared" si="89"/>
        <v>7.9200000000611226E-2</v>
      </c>
      <c r="O184" s="70"/>
      <c r="P184" s="71">
        <f t="shared" si="78"/>
        <v>1737.300000000002</v>
      </c>
      <c r="Q184" s="35">
        <f t="shared" si="79"/>
        <v>7.9199999998309067E-2</v>
      </c>
      <c r="R184" s="72">
        <v>1103734</v>
      </c>
      <c r="S184" s="72">
        <f t="shared" si="80"/>
        <v>11124.979200000002</v>
      </c>
    </row>
    <row r="185" spans="1:20">
      <c r="A185" s="9"/>
      <c r="B185" s="12"/>
      <c r="C185" s="12"/>
      <c r="D185" s="11" t="s">
        <v>7</v>
      </c>
      <c r="E185" s="97"/>
      <c r="F185" s="122" t="s">
        <v>85</v>
      </c>
      <c r="G185" s="98">
        <f>G186+G187+G188</f>
        <v>18655</v>
      </c>
      <c r="H185" s="98">
        <f t="shared" ref="H185:M185" si="90">H186+H187+H188</f>
        <v>9267.4</v>
      </c>
      <c r="I185" s="98">
        <f t="shared" si="90"/>
        <v>7530.1</v>
      </c>
      <c r="J185" s="32">
        <f t="shared" si="90"/>
        <v>9267.3208000000013</v>
      </c>
      <c r="K185" s="35">
        <f>'1.02.'!M164</f>
        <v>0</v>
      </c>
      <c r="L185" s="98">
        <f t="shared" si="90"/>
        <v>7530.0207999999993</v>
      </c>
      <c r="M185" s="32">
        <f t="shared" si="90"/>
        <v>7530.0207999999993</v>
      </c>
      <c r="N185" s="32">
        <f>N186+N187+N188</f>
        <v>7.9200000000611226E-2</v>
      </c>
      <c r="O185" s="68">
        <f>M185/I185*100</f>
        <v>99.998948221139145</v>
      </c>
      <c r="P185" s="71">
        <f t="shared" si="78"/>
        <v>1737.300000000002</v>
      </c>
      <c r="Q185" s="35">
        <f t="shared" si="79"/>
        <v>7.9199999998309067E-2</v>
      </c>
      <c r="R185" s="72">
        <v>1103735</v>
      </c>
      <c r="S185" s="72">
        <f t="shared" si="80"/>
        <v>11124.979200000002</v>
      </c>
      <c r="T185" s="62">
        <f>G185-J185</f>
        <v>9387.6791999999987</v>
      </c>
    </row>
    <row r="186" spans="1:20" hidden="1">
      <c r="A186" s="9"/>
      <c r="B186" s="13"/>
      <c r="C186" s="13"/>
      <c r="D186" s="14"/>
      <c r="E186" s="20">
        <v>413</v>
      </c>
      <c r="F186" s="106" t="s">
        <v>56</v>
      </c>
      <c r="G186" s="34"/>
      <c r="H186" s="34"/>
      <c r="I186" s="34"/>
      <c r="J186" s="107">
        <f>M186</f>
        <v>0</v>
      </c>
      <c r="K186" s="35">
        <f>'1.02.'!M165</f>
        <v>0</v>
      </c>
      <c r="L186" s="34"/>
      <c r="M186" s="93">
        <f t="shared" ref="M186:M188" si="91">K186+L186</f>
        <v>0</v>
      </c>
      <c r="N186" s="93">
        <f t="shared" ref="N186:N188" si="92">I186-M186</f>
        <v>0</v>
      </c>
      <c r="O186" s="70"/>
      <c r="P186" s="71">
        <f t="shared" si="78"/>
        <v>0</v>
      </c>
      <c r="Q186" s="35">
        <f t="shared" si="79"/>
        <v>0</v>
      </c>
      <c r="R186" s="72">
        <v>1103736</v>
      </c>
      <c r="S186" s="72">
        <f t="shared" si="80"/>
        <v>0</v>
      </c>
    </row>
    <row r="187" spans="1:20" ht="25.5">
      <c r="A187" s="9"/>
      <c r="B187" s="13"/>
      <c r="C187" s="13"/>
      <c r="D187" s="14"/>
      <c r="E187" s="20">
        <v>414</v>
      </c>
      <c r="F187" s="50" t="s">
        <v>105</v>
      </c>
      <c r="G187" s="37">
        <f>18655-255.8</f>
        <v>18399.2</v>
      </c>
      <c r="H187" s="37">
        <v>9011.6</v>
      </c>
      <c r="I187" s="37">
        <v>7274.3</v>
      </c>
      <c r="J187" s="107">
        <v>9011.5408000000007</v>
      </c>
      <c r="K187" s="35">
        <f>'1.02.'!M166</f>
        <v>0</v>
      </c>
      <c r="L187" s="37">
        <v>7274.2407999999996</v>
      </c>
      <c r="M187" s="93">
        <f t="shared" si="91"/>
        <v>7274.2407999999996</v>
      </c>
      <c r="N187" s="93">
        <f t="shared" si="92"/>
        <v>5.9200000000600994E-2</v>
      </c>
      <c r="O187" s="70"/>
      <c r="P187" s="71">
        <f t="shared" si="78"/>
        <v>1737.3000000000011</v>
      </c>
      <c r="Q187" s="35">
        <f t="shared" si="79"/>
        <v>5.9199999999691499E-2</v>
      </c>
      <c r="R187" s="72">
        <v>1103737</v>
      </c>
      <c r="S187" s="72">
        <f t="shared" si="80"/>
        <v>11124.959200000001</v>
      </c>
    </row>
    <row r="188" spans="1:20">
      <c r="A188" s="100"/>
      <c r="B188" s="15"/>
      <c r="C188" s="15"/>
      <c r="D188" s="16"/>
      <c r="E188" s="20">
        <v>419</v>
      </c>
      <c r="F188" s="86" t="s">
        <v>153</v>
      </c>
      <c r="G188" s="37">
        <v>255.8</v>
      </c>
      <c r="H188" s="37">
        <v>255.8</v>
      </c>
      <c r="I188" s="37">
        <v>255.8</v>
      </c>
      <c r="J188" s="107">
        <f t="shared" ref="J188" si="93">M188</f>
        <v>255.78</v>
      </c>
      <c r="K188" s="35">
        <f>'1.02.'!M167</f>
        <v>0</v>
      </c>
      <c r="L188" s="35">
        <v>255.78</v>
      </c>
      <c r="M188" s="93">
        <f t="shared" si="91"/>
        <v>255.78</v>
      </c>
      <c r="N188" s="93">
        <f t="shared" si="92"/>
        <v>2.0000000000010232E-2</v>
      </c>
      <c r="O188" s="70">
        <f t="shared" ref="O188" si="94">M188/I188*100</f>
        <v>99.992181391712279</v>
      </c>
      <c r="P188" s="71">
        <f t="shared" si="78"/>
        <v>0</v>
      </c>
      <c r="Q188" s="35">
        <f t="shared" si="79"/>
        <v>2.0000000000010232E-2</v>
      </c>
      <c r="R188" s="72">
        <v>1103738</v>
      </c>
      <c r="S188" s="72">
        <f t="shared" si="80"/>
        <v>2.0000000000010232E-2</v>
      </c>
    </row>
    <row r="189" spans="1:20" s="95" customFormat="1" ht="13.5">
      <c r="A189" s="8"/>
      <c r="B189" s="57">
        <v>1265</v>
      </c>
      <c r="C189" s="12"/>
      <c r="D189" s="11"/>
      <c r="E189" s="18"/>
      <c r="F189" s="139" t="s">
        <v>123</v>
      </c>
      <c r="G189" s="42">
        <f>G190+G211</f>
        <v>1459865</v>
      </c>
      <c r="H189" s="42">
        <f t="shared" ref="H189:N189" si="95">H190+H211</f>
        <v>1030198</v>
      </c>
      <c r="I189" s="42">
        <f t="shared" si="95"/>
        <v>906867.7</v>
      </c>
      <c r="J189" s="29">
        <f t="shared" si="95"/>
        <v>1029913.51221</v>
      </c>
      <c r="K189" s="29">
        <f t="shared" si="95"/>
        <v>330350.27847999998</v>
      </c>
      <c r="L189" s="29">
        <f t="shared" si="95"/>
        <v>119440.88847000001</v>
      </c>
      <c r="M189" s="29">
        <f t="shared" si="95"/>
        <v>906585.23876999994</v>
      </c>
      <c r="N189" s="29">
        <f t="shared" si="95"/>
        <v>282.46123000000267</v>
      </c>
      <c r="O189" s="68">
        <f t="shared" si="87"/>
        <v>99.968853094006988</v>
      </c>
      <c r="P189" s="35">
        <f t="shared" si="78"/>
        <v>123328.27344000002</v>
      </c>
      <c r="Q189" s="35">
        <f t="shared" si="79"/>
        <v>284.48779000004288</v>
      </c>
      <c r="R189" s="72">
        <v>1103739</v>
      </c>
      <c r="S189" s="72">
        <f t="shared" si="80"/>
        <v>553279.76123000006</v>
      </c>
      <c r="T189" s="62">
        <f t="shared" si="83"/>
        <v>429951.48779000004</v>
      </c>
    </row>
    <row r="190" spans="1:20" ht="63.75">
      <c r="A190" s="8"/>
      <c r="B190" s="12"/>
      <c r="C190" s="12" t="s">
        <v>23</v>
      </c>
      <c r="D190" s="11"/>
      <c r="E190" s="18"/>
      <c r="F190" s="139" t="s">
        <v>124</v>
      </c>
      <c r="G190" s="42">
        <f>G191</f>
        <v>1027596</v>
      </c>
      <c r="H190" s="42">
        <f t="shared" ref="H190:N190" si="96">H191</f>
        <v>679269</v>
      </c>
      <c r="I190" s="42">
        <f t="shared" si="96"/>
        <v>592025.69999999995</v>
      </c>
      <c r="J190" s="60">
        <f t="shared" si="96"/>
        <v>678984.51220999996</v>
      </c>
      <c r="K190" s="29">
        <f>'1.02.'!M169</f>
        <v>48654.000999999997</v>
      </c>
      <c r="L190" s="29">
        <f t="shared" si="96"/>
        <v>86295.977470000013</v>
      </c>
      <c r="M190" s="29">
        <f t="shared" si="96"/>
        <v>591744.05028999993</v>
      </c>
      <c r="N190" s="29">
        <f t="shared" si="96"/>
        <v>281.6497100000143</v>
      </c>
      <c r="O190" s="66">
        <f t="shared" si="87"/>
        <v>99.9524261007588</v>
      </c>
      <c r="P190" s="71">
        <f t="shared" si="78"/>
        <v>87240.461920000031</v>
      </c>
      <c r="Q190" s="35">
        <f t="shared" si="79"/>
        <v>284.48779000004288</v>
      </c>
      <c r="R190" s="72">
        <v>1103740</v>
      </c>
      <c r="S190" s="72">
        <f t="shared" si="80"/>
        <v>435851.94971000007</v>
      </c>
      <c r="T190" s="62">
        <f t="shared" si="83"/>
        <v>348611.48779000004</v>
      </c>
    </row>
    <row r="191" spans="1:20">
      <c r="A191" s="9"/>
      <c r="B191" s="12"/>
      <c r="C191" s="12"/>
      <c r="D191" s="11" t="s">
        <v>7</v>
      </c>
      <c r="E191" s="97"/>
      <c r="F191" s="140" t="s">
        <v>85</v>
      </c>
      <c r="G191" s="98">
        <f t="shared" ref="G191:I191" si="97">SUM(G192:G210)</f>
        <v>1027596</v>
      </c>
      <c r="H191" s="98">
        <f t="shared" si="97"/>
        <v>679269</v>
      </c>
      <c r="I191" s="98">
        <f t="shared" si="97"/>
        <v>592025.69999999995</v>
      </c>
      <c r="J191" s="32">
        <f>SUM(J192:J210)</f>
        <v>678984.51220999996</v>
      </c>
      <c r="K191" s="32">
        <f>SUM(K192:K210)</f>
        <v>505448.07281999994</v>
      </c>
      <c r="L191" s="32">
        <f t="shared" ref="L191:N191" si="98">SUM(L192:L210)</f>
        <v>86295.977470000013</v>
      </c>
      <c r="M191" s="32">
        <f t="shared" si="98"/>
        <v>591744.05028999993</v>
      </c>
      <c r="N191" s="32">
        <f t="shared" si="98"/>
        <v>281.6497100000143</v>
      </c>
      <c r="O191" s="68">
        <f t="shared" si="87"/>
        <v>99.9524261007588</v>
      </c>
      <c r="P191" s="71">
        <f t="shared" si="78"/>
        <v>87240.461920000031</v>
      </c>
      <c r="Q191" s="35">
        <f t="shared" si="79"/>
        <v>284.48779000004288</v>
      </c>
      <c r="R191" s="72">
        <v>1103741</v>
      </c>
      <c r="S191" s="72">
        <f t="shared" si="80"/>
        <v>435851.94971000007</v>
      </c>
      <c r="T191" s="62">
        <f t="shared" si="83"/>
        <v>348611.48779000004</v>
      </c>
    </row>
    <row r="192" spans="1:20">
      <c r="A192" s="9"/>
      <c r="B192" s="13"/>
      <c r="C192" s="13"/>
      <c r="D192" s="14"/>
      <c r="E192" s="20">
        <v>111</v>
      </c>
      <c r="F192" s="136" t="s">
        <v>86</v>
      </c>
      <c r="G192" s="37">
        <f>618499-385-534</f>
        <v>617580</v>
      </c>
      <c r="H192" s="37">
        <v>392081</v>
      </c>
      <c r="I192" s="37">
        <v>392081</v>
      </c>
      <c r="J192" s="75">
        <f>M192</f>
        <v>392077.98392999999</v>
      </c>
      <c r="K192" s="35">
        <f>'1.08'!M192</f>
        <v>342600.52792999998</v>
      </c>
      <c r="L192" s="35">
        <v>49477.455999999998</v>
      </c>
      <c r="M192" s="93">
        <f>K192+L192</f>
        <v>392077.98392999999</v>
      </c>
      <c r="N192" s="93">
        <f>I192-M192</f>
        <v>3.0160700000124052</v>
      </c>
      <c r="O192" s="70">
        <f t="shared" si="87"/>
        <v>99.999230753339234</v>
      </c>
      <c r="P192" s="71">
        <f t="shared" si="78"/>
        <v>0</v>
      </c>
      <c r="Q192" s="35">
        <f t="shared" si="79"/>
        <v>3.0160700000124052</v>
      </c>
      <c r="R192" s="72">
        <v>1103742</v>
      </c>
      <c r="S192" s="72">
        <f t="shared" si="80"/>
        <v>225502.01607000001</v>
      </c>
      <c r="T192" s="62">
        <f t="shared" si="83"/>
        <v>225502.01607000001</v>
      </c>
    </row>
    <row r="193" spans="1:20">
      <c r="A193" s="9"/>
      <c r="B193" s="13"/>
      <c r="C193" s="13"/>
      <c r="D193" s="14"/>
      <c r="E193" s="69">
        <v>112</v>
      </c>
      <c r="F193" s="136" t="s">
        <v>87</v>
      </c>
      <c r="G193" s="37">
        <f>308+308</f>
        <v>616</v>
      </c>
      <c r="H193" s="37">
        <v>616</v>
      </c>
      <c r="I193" s="37">
        <v>616</v>
      </c>
      <c r="J193" s="75">
        <f t="shared" ref="J193:J199" si="99">M193</f>
        <v>613.95100000000002</v>
      </c>
      <c r="K193" s="35">
        <f>'1.08'!M193</f>
        <v>613.95100000000002</v>
      </c>
      <c r="L193" s="35"/>
      <c r="M193" s="93">
        <f>K193+L193</f>
        <v>613.95100000000002</v>
      </c>
      <c r="N193" s="93">
        <f t="shared" ref="N193:N194" si="100">I193-M193</f>
        <v>2.0489999999999782</v>
      </c>
      <c r="O193" s="70">
        <f t="shared" si="87"/>
        <v>99.667370129870136</v>
      </c>
      <c r="P193" s="71">
        <f t="shared" si="78"/>
        <v>0</v>
      </c>
      <c r="Q193" s="35">
        <f t="shared" si="79"/>
        <v>2.0489999999999782</v>
      </c>
      <c r="R193" s="72">
        <v>1103743</v>
      </c>
      <c r="S193" s="72">
        <f t="shared" si="80"/>
        <v>2.0489999999999782</v>
      </c>
    </row>
    <row r="194" spans="1:20">
      <c r="A194" s="9"/>
      <c r="B194" s="15"/>
      <c r="C194" s="15"/>
      <c r="D194" s="16"/>
      <c r="E194" s="20">
        <v>113</v>
      </c>
      <c r="F194" s="136" t="s">
        <v>88</v>
      </c>
      <c r="G194" s="37">
        <f>19771-308</f>
        <v>19463</v>
      </c>
      <c r="H194" s="37">
        <v>13181</v>
      </c>
      <c r="I194" s="37">
        <v>13181</v>
      </c>
      <c r="J194" s="75">
        <f t="shared" si="99"/>
        <v>13181</v>
      </c>
      <c r="K194" s="35">
        <f>'1.08'!M194</f>
        <v>8170</v>
      </c>
      <c r="L194" s="35">
        <v>5011</v>
      </c>
      <c r="M194" s="93">
        <f t="shared" si="70"/>
        <v>13181</v>
      </c>
      <c r="N194" s="93">
        <f t="shared" si="100"/>
        <v>0</v>
      </c>
      <c r="O194" s="70">
        <f t="shared" si="87"/>
        <v>100</v>
      </c>
      <c r="P194" s="71">
        <f t="shared" si="78"/>
        <v>0</v>
      </c>
      <c r="Q194" s="35">
        <f t="shared" si="79"/>
        <v>0</v>
      </c>
      <c r="R194" s="72">
        <v>1103744</v>
      </c>
      <c r="S194" s="72">
        <f t="shared" si="80"/>
        <v>6282</v>
      </c>
      <c r="T194" s="62">
        <f t="shared" si="83"/>
        <v>6282</v>
      </c>
    </row>
    <row r="195" spans="1:20">
      <c r="A195" s="9"/>
      <c r="B195" s="15"/>
      <c r="C195" s="15"/>
      <c r="D195" s="16"/>
      <c r="E195" s="69">
        <v>116</v>
      </c>
      <c r="F195" s="136" t="s">
        <v>89</v>
      </c>
      <c r="G195" s="37">
        <f>10353+100</f>
        <v>10453</v>
      </c>
      <c r="H195" s="37">
        <v>7580</v>
      </c>
      <c r="I195" s="37">
        <v>7580</v>
      </c>
      <c r="J195" s="75">
        <f t="shared" si="99"/>
        <v>7578.6649999999991</v>
      </c>
      <c r="K195" s="35">
        <f>'1.08'!M195</f>
        <v>6617.9529999999995</v>
      </c>
      <c r="L195" s="35">
        <v>960.71199999999999</v>
      </c>
      <c r="M195" s="93">
        <f>K195+L195</f>
        <v>7578.6649999999991</v>
      </c>
      <c r="N195" s="93">
        <f>I195-M195</f>
        <v>1.3350000000009459</v>
      </c>
      <c r="O195" s="70">
        <f>M195/I195*100</f>
        <v>99.982387862796813</v>
      </c>
      <c r="P195" s="71">
        <f t="shared" si="78"/>
        <v>0</v>
      </c>
      <c r="Q195" s="35">
        <f t="shared" si="79"/>
        <v>1.3350000000009459</v>
      </c>
      <c r="R195" s="72">
        <v>1103745</v>
      </c>
      <c r="S195" s="72">
        <f t="shared" si="80"/>
        <v>2874.3350000000009</v>
      </c>
    </row>
    <row r="196" spans="1:20">
      <c r="A196" s="9"/>
      <c r="B196" s="15"/>
      <c r="C196" s="15"/>
      <c r="D196" s="16"/>
      <c r="E196" s="20">
        <v>121</v>
      </c>
      <c r="F196" s="136" t="s">
        <v>90</v>
      </c>
      <c r="G196" s="37">
        <f>32039+200+200+300</f>
        <v>32739</v>
      </c>
      <c r="H196" s="37">
        <v>21800</v>
      </c>
      <c r="I196" s="37">
        <v>21800</v>
      </c>
      <c r="J196" s="75">
        <f t="shared" si="99"/>
        <v>21800</v>
      </c>
      <c r="K196" s="35">
        <f>'1.08'!M196</f>
        <v>19100</v>
      </c>
      <c r="L196" s="35">
        <v>2700</v>
      </c>
      <c r="M196" s="93">
        <f>K196+L196</f>
        <v>21800</v>
      </c>
      <c r="N196" s="93">
        <f>I196-M196</f>
        <v>0</v>
      </c>
      <c r="O196" s="70">
        <f>M196/I196*100</f>
        <v>100</v>
      </c>
      <c r="P196" s="71">
        <f t="shared" si="78"/>
        <v>0</v>
      </c>
      <c r="Q196" s="35">
        <f t="shared" si="79"/>
        <v>0</v>
      </c>
      <c r="R196" s="72">
        <v>1103746</v>
      </c>
      <c r="S196" s="72">
        <f t="shared" si="80"/>
        <v>10939</v>
      </c>
      <c r="T196" s="62">
        <f t="shared" si="83"/>
        <v>10939</v>
      </c>
    </row>
    <row r="197" spans="1:20">
      <c r="A197" s="9"/>
      <c r="B197" s="15"/>
      <c r="C197" s="15"/>
      <c r="D197" s="16"/>
      <c r="E197" s="20">
        <v>122</v>
      </c>
      <c r="F197" s="136" t="s">
        <v>91</v>
      </c>
      <c r="G197" s="37">
        <f>27832-200-200-400</f>
        <v>27032</v>
      </c>
      <c r="H197" s="37">
        <v>16420</v>
      </c>
      <c r="I197" s="37">
        <v>16420</v>
      </c>
      <c r="J197" s="75">
        <f t="shared" si="99"/>
        <v>16161.282999999999</v>
      </c>
      <c r="K197" s="35">
        <f>'1.08'!M197</f>
        <v>14125.288</v>
      </c>
      <c r="L197" s="35">
        <v>2035.9949999999999</v>
      </c>
      <c r="M197" s="93">
        <f t="shared" si="70"/>
        <v>16161.282999999999</v>
      </c>
      <c r="N197" s="93">
        <f t="shared" si="71"/>
        <v>258.71700000000055</v>
      </c>
      <c r="O197" s="70">
        <f t="shared" si="87"/>
        <v>98.424378806333735</v>
      </c>
      <c r="P197" s="71">
        <f t="shared" si="78"/>
        <v>0</v>
      </c>
      <c r="Q197" s="35">
        <f t="shared" si="79"/>
        <v>258.71700000000055</v>
      </c>
      <c r="R197" s="72">
        <v>1103747</v>
      </c>
      <c r="S197" s="72">
        <f t="shared" si="80"/>
        <v>10870.717000000001</v>
      </c>
      <c r="T197" s="62">
        <f t="shared" si="83"/>
        <v>10870.717000000001</v>
      </c>
    </row>
    <row r="198" spans="1:20">
      <c r="A198" s="9"/>
      <c r="B198" s="15"/>
      <c r="C198" s="15"/>
      <c r="D198" s="16"/>
      <c r="E198" s="20">
        <v>123</v>
      </c>
      <c r="F198" s="136" t="s">
        <v>92</v>
      </c>
      <c r="G198" s="37">
        <f>168+34</f>
        <v>202</v>
      </c>
      <c r="H198" s="37">
        <v>202</v>
      </c>
      <c r="I198" s="37">
        <v>202</v>
      </c>
      <c r="J198" s="75">
        <f t="shared" si="99"/>
        <v>201.94200000000001</v>
      </c>
      <c r="K198" s="35">
        <f>'1.08'!M198</f>
        <v>201.94200000000001</v>
      </c>
      <c r="L198" s="35"/>
      <c r="M198" s="93">
        <f t="shared" si="70"/>
        <v>201.94200000000001</v>
      </c>
      <c r="N198" s="93">
        <f t="shared" si="71"/>
        <v>5.7999999999992724E-2</v>
      </c>
      <c r="O198" s="70">
        <f t="shared" si="87"/>
        <v>99.971287128712873</v>
      </c>
      <c r="P198" s="71">
        <f t="shared" si="78"/>
        <v>0</v>
      </c>
      <c r="Q198" s="35">
        <f t="shared" si="79"/>
        <v>5.7999999999992724E-2</v>
      </c>
      <c r="R198" s="72">
        <v>1103748</v>
      </c>
      <c r="S198" s="72">
        <f t="shared" si="80"/>
        <v>5.7999999999992724E-2</v>
      </c>
      <c r="T198" s="62">
        <f t="shared" si="83"/>
        <v>5.7999999999992724E-2</v>
      </c>
    </row>
    <row r="199" spans="1:20">
      <c r="A199" s="9"/>
      <c r="B199" s="15"/>
      <c r="C199" s="15"/>
      <c r="D199" s="16"/>
      <c r="E199" s="20">
        <v>124</v>
      </c>
      <c r="F199" s="136" t="s">
        <v>93</v>
      </c>
      <c r="G199" s="37">
        <f>15607-58-326</f>
        <v>15223</v>
      </c>
      <c r="H199" s="37">
        <v>9024</v>
      </c>
      <c r="I199" s="37">
        <v>9024</v>
      </c>
      <c r="J199" s="75">
        <f t="shared" si="99"/>
        <v>9019.0499999999993</v>
      </c>
      <c r="K199" s="35">
        <f>'1.08'!M199</f>
        <v>7867.6869999999999</v>
      </c>
      <c r="L199" s="35">
        <v>1151.3630000000001</v>
      </c>
      <c r="M199" s="93">
        <f t="shared" si="70"/>
        <v>9019.0499999999993</v>
      </c>
      <c r="N199" s="93">
        <f t="shared" si="71"/>
        <v>4.9500000000007276</v>
      </c>
      <c r="O199" s="70">
        <f t="shared" si="87"/>
        <v>99.945146276595736</v>
      </c>
      <c r="P199" s="71">
        <f t="shared" si="78"/>
        <v>0</v>
      </c>
      <c r="Q199" s="35">
        <f t="shared" si="79"/>
        <v>4.9500000000007276</v>
      </c>
      <c r="R199" s="72">
        <v>1103749</v>
      </c>
      <c r="S199" s="72">
        <f t="shared" si="80"/>
        <v>6203.9500000000007</v>
      </c>
      <c r="T199" s="62">
        <f t="shared" si="83"/>
        <v>6203.9500000000007</v>
      </c>
    </row>
    <row r="200" spans="1:20" s="73" customFormat="1">
      <c r="A200" s="9"/>
      <c r="B200" s="15"/>
      <c r="C200" s="15"/>
      <c r="D200" s="16"/>
      <c r="E200" s="20">
        <v>141</v>
      </c>
      <c r="F200" s="136" t="s">
        <v>116</v>
      </c>
      <c r="G200" s="37">
        <f>170896-249-5095+30531</f>
        <v>196083</v>
      </c>
      <c r="H200" s="37">
        <v>165552</v>
      </c>
      <c r="I200" s="37">
        <v>87751</v>
      </c>
      <c r="J200" s="75">
        <v>165551.82058999999</v>
      </c>
      <c r="K200" s="35">
        <f>'1.08'!M200</f>
        <v>67751</v>
      </c>
      <c r="L200" s="35">
        <v>20000</v>
      </c>
      <c r="M200" s="93">
        <f t="shared" si="70"/>
        <v>87751</v>
      </c>
      <c r="N200" s="93">
        <f t="shared" si="71"/>
        <v>0</v>
      </c>
      <c r="O200" s="70">
        <f t="shared" si="87"/>
        <v>100</v>
      </c>
      <c r="P200" s="71">
        <f t="shared" si="78"/>
        <v>77800.820589999988</v>
      </c>
      <c r="Q200" s="35">
        <f t="shared" si="79"/>
        <v>0.17941000001155771</v>
      </c>
      <c r="R200" s="72">
        <v>1103750</v>
      </c>
      <c r="S200" s="72">
        <f t="shared" si="80"/>
        <v>108332</v>
      </c>
      <c r="T200" s="62">
        <f t="shared" si="83"/>
        <v>30531.179410000012</v>
      </c>
    </row>
    <row r="201" spans="1:20" s="73" customFormat="1">
      <c r="A201" s="9"/>
      <c r="B201" s="15"/>
      <c r="C201" s="15"/>
      <c r="D201" s="16"/>
      <c r="E201" s="20">
        <v>142</v>
      </c>
      <c r="F201" s="136" t="s">
        <v>122</v>
      </c>
      <c r="G201" s="37">
        <f>5095+45698</f>
        <v>50793</v>
      </c>
      <c r="H201" s="37">
        <v>9100</v>
      </c>
      <c r="I201" s="37">
        <v>3917</v>
      </c>
      <c r="J201" s="75">
        <v>9095.8405600000006</v>
      </c>
      <c r="K201" s="35">
        <f>'1.08'!M201</f>
        <v>3527.7817500000001</v>
      </c>
      <c r="L201" s="35">
        <v>389.21800000000002</v>
      </c>
      <c r="M201" s="93">
        <f t="shared" si="70"/>
        <v>3916.9997499999999</v>
      </c>
      <c r="N201" s="93">
        <f t="shared" si="71"/>
        <v>2.500000000509317E-4</v>
      </c>
      <c r="O201" s="70">
        <f t="shared" si="87"/>
        <v>99.999993617564471</v>
      </c>
      <c r="P201" s="71">
        <f t="shared" si="78"/>
        <v>5178.8408100000006</v>
      </c>
      <c r="Q201" s="35">
        <f t="shared" si="79"/>
        <v>4.1594399999994494</v>
      </c>
      <c r="R201" s="72">
        <v>1103751</v>
      </c>
      <c r="S201" s="72">
        <f t="shared" si="80"/>
        <v>46876.000249999997</v>
      </c>
      <c r="T201" s="62"/>
    </row>
    <row r="202" spans="1:20">
      <c r="A202" s="9"/>
      <c r="B202" s="15"/>
      <c r="C202" s="15"/>
      <c r="D202" s="16"/>
      <c r="E202" s="20">
        <v>144</v>
      </c>
      <c r="F202" s="136" t="s">
        <v>97</v>
      </c>
      <c r="G202" s="37">
        <v>4041</v>
      </c>
      <c r="H202" s="37">
        <v>3481</v>
      </c>
      <c r="I202" s="37">
        <v>3481</v>
      </c>
      <c r="J202" s="75">
        <v>3480.2807299999999</v>
      </c>
      <c r="K202" s="35">
        <f>'1.08'!M202</f>
        <v>3480.2807299999999</v>
      </c>
      <c r="L202" s="35"/>
      <c r="M202" s="93">
        <f t="shared" si="70"/>
        <v>3480.2807299999999</v>
      </c>
      <c r="N202" s="93">
        <f t="shared" si="71"/>
        <v>0.71927000000005137</v>
      </c>
      <c r="O202" s="70">
        <f t="shared" si="87"/>
        <v>99.979337259408226</v>
      </c>
      <c r="P202" s="71">
        <f t="shared" si="78"/>
        <v>0</v>
      </c>
      <c r="Q202" s="35">
        <f t="shared" si="79"/>
        <v>0.71927000000005137</v>
      </c>
      <c r="R202" s="72">
        <v>1103751</v>
      </c>
      <c r="S202" s="72">
        <f t="shared" si="80"/>
        <v>560.71927000000005</v>
      </c>
      <c r="T202" s="62">
        <f t="shared" si="83"/>
        <v>560.71927000000005</v>
      </c>
    </row>
    <row r="203" spans="1:20">
      <c r="A203" s="100"/>
      <c r="B203" s="15"/>
      <c r="C203" s="15"/>
      <c r="D203" s="16"/>
      <c r="E203" s="20">
        <v>149</v>
      </c>
      <c r="F203" s="136" t="s">
        <v>98</v>
      </c>
      <c r="G203" s="37">
        <f>3715-434-155+3420</f>
        <v>6546</v>
      </c>
      <c r="H203" s="37">
        <v>2656</v>
      </c>
      <c r="I203" s="37">
        <v>2601.6</v>
      </c>
      <c r="J203" s="75">
        <v>2655.6</v>
      </c>
      <c r="K203" s="35">
        <f>'1.08'!M203</f>
        <v>2601.58</v>
      </c>
      <c r="L203" s="35"/>
      <c r="M203" s="93">
        <f t="shared" si="70"/>
        <v>2601.58</v>
      </c>
      <c r="N203" s="93">
        <f t="shared" si="71"/>
        <v>1.999999999998181E-2</v>
      </c>
      <c r="O203" s="70">
        <f t="shared" si="87"/>
        <v>99.999231242312419</v>
      </c>
      <c r="P203" s="71">
        <f t="shared" si="78"/>
        <v>54.019999999999982</v>
      </c>
      <c r="Q203" s="35">
        <f t="shared" si="79"/>
        <v>0.40000000000009095</v>
      </c>
      <c r="R203" s="72">
        <v>1103752</v>
      </c>
      <c r="S203" s="72">
        <f t="shared" si="80"/>
        <v>3944.42</v>
      </c>
      <c r="T203" s="62">
        <f t="shared" si="83"/>
        <v>3890.4</v>
      </c>
    </row>
    <row r="204" spans="1:20">
      <c r="A204" s="100"/>
      <c r="B204" s="15"/>
      <c r="C204" s="15"/>
      <c r="D204" s="16"/>
      <c r="E204" s="20">
        <v>151</v>
      </c>
      <c r="F204" s="136" t="s">
        <v>99</v>
      </c>
      <c r="G204" s="37">
        <v>35085</v>
      </c>
      <c r="H204" s="37">
        <v>25900</v>
      </c>
      <c r="I204" s="37">
        <v>25900</v>
      </c>
      <c r="J204" s="75">
        <f>M204</f>
        <v>25900</v>
      </c>
      <c r="K204" s="35">
        <f>'1.08'!M204</f>
        <v>24000</v>
      </c>
      <c r="L204" s="35">
        <v>1900</v>
      </c>
      <c r="M204" s="93">
        <f t="shared" ref="M204:M210" si="101">K204+L204</f>
        <v>25900</v>
      </c>
      <c r="N204" s="93">
        <f t="shared" ref="N204:N235" si="102">I204-M204</f>
        <v>0</v>
      </c>
      <c r="O204" s="70">
        <f t="shared" si="87"/>
        <v>100</v>
      </c>
      <c r="P204" s="71">
        <f t="shared" si="78"/>
        <v>0</v>
      </c>
      <c r="Q204" s="35">
        <f t="shared" si="79"/>
        <v>0</v>
      </c>
      <c r="R204" s="72">
        <v>1103753</v>
      </c>
      <c r="S204" s="72">
        <f t="shared" si="80"/>
        <v>9185</v>
      </c>
      <c r="T204" s="62">
        <f t="shared" si="83"/>
        <v>9185</v>
      </c>
    </row>
    <row r="205" spans="1:20">
      <c r="A205" s="100"/>
      <c r="B205" s="15"/>
      <c r="C205" s="15"/>
      <c r="D205" s="16"/>
      <c r="E205" s="20">
        <v>152</v>
      </c>
      <c r="F205" s="136" t="s">
        <v>100</v>
      </c>
      <c r="G205" s="37">
        <v>1374</v>
      </c>
      <c r="H205" s="37">
        <v>1374</v>
      </c>
      <c r="I205" s="37">
        <v>473</v>
      </c>
      <c r="J205" s="75">
        <v>1373.87772</v>
      </c>
      <c r="K205" s="35">
        <f>'1.08'!M205</f>
        <v>347.44736999999998</v>
      </c>
      <c r="L205" s="35">
        <v>123.25002000000001</v>
      </c>
      <c r="M205" s="93">
        <f t="shared" si="101"/>
        <v>470.69738999999998</v>
      </c>
      <c r="N205" s="93">
        <f t="shared" si="102"/>
        <v>2.3026100000000156</v>
      </c>
      <c r="O205" s="70">
        <f t="shared" si="87"/>
        <v>99.513190274841435</v>
      </c>
      <c r="P205" s="71">
        <f t="shared" si="78"/>
        <v>903.18032999999991</v>
      </c>
      <c r="Q205" s="35">
        <f t="shared" si="79"/>
        <v>0.12228000000004613</v>
      </c>
      <c r="R205" s="72">
        <v>1103754</v>
      </c>
      <c r="S205" s="72">
        <f t="shared" si="80"/>
        <v>903.30260999999996</v>
      </c>
      <c r="T205" s="62">
        <f t="shared" si="83"/>
        <v>0.12228000000004613</v>
      </c>
    </row>
    <row r="206" spans="1:20">
      <c r="A206" s="100"/>
      <c r="B206" s="15"/>
      <c r="C206" s="15"/>
      <c r="D206" s="16"/>
      <c r="E206" s="20">
        <v>158</v>
      </c>
      <c r="F206" s="136" t="s">
        <v>101</v>
      </c>
      <c r="G206" s="37">
        <f>730+2332-616-608</f>
        <v>1838</v>
      </c>
      <c r="H206" s="37">
        <v>1838</v>
      </c>
      <c r="I206" s="37">
        <v>1375.1</v>
      </c>
      <c r="J206" s="75">
        <v>1837.8155999999999</v>
      </c>
      <c r="K206" s="35">
        <f>'1.08'!M206</f>
        <v>1308.5078000000001</v>
      </c>
      <c r="L206" s="35">
        <v>61</v>
      </c>
      <c r="M206" s="93">
        <f t="shared" si="101"/>
        <v>1369.5078000000001</v>
      </c>
      <c r="N206" s="93">
        <f t="shared" si="102"/>
        <v>5.5921999999998206</v>
      </c>
      <c r="O206" s="70">
        <f t="shared" si="87"/>
        <v>99.593324121882048</v>
      </c>
      <c r="P206" s="71">
        <f t="shared" si="78"/>
        <v>468.30779999999982</v>
      </c>
      <c r="Q206" s="35">
        <f t="shared" si="79"/>
        <v>0.18440000000009604</v>
      </c>
      <c r="R206" s="72">
        <v>1103755</v>
      </c>
      <c r="S206" s="72">
        <f t="shared" si="80"/>
        <v>468.49219999999991</v>
      </c>
      <c r="T206" s="62">
        <f t="shared" si="83"/>
        <v>0.18440000000009604</v>
      </c>
    </row>
    <row r="207" spans="1:20">
      <c r="A207" s="100"/>
      <c r="B207" s="15"/>
      <c r="C207" s="15"/>
      <c r="D207" s="16"/>
      <c r="E207" s="20">
        <v>159</v>
      </c>
      <c r="F207" s="136" t="s">
        <v>84</v>
      </c>
      <c r="G207" s="37">
        <f>7434-2332+425</f>
        <v>5527</v>
      </c>
      <c r="H207" s="37">
        <v>5479</v>
      </c>
      <c r="I207" s="37">
        <v>2638</v>
      </c>
      <c r="J207" s="75">
        <v>5473.2923899999996</v>
      </c>
      <c r="K207" s="35">
        <f>'1.08'!M207</f>
        <v>1176.01262</v>
      </c>
      <c r="L207" s="35">
        <v>1461.98738</v>
      </c>
      <c r="M207" s="93">
        <f t="shared" si="101"/>
        <v>2638</v>
      </c>
      <c r="N207" s="93">
        <f t="shared" si="102"/>
        <v>0</v>
      </c>
      <c r="O207" s="70">
        <f t="shared" si="87"/>
        <v>100</v>
      </c>
      <c r="P207" s="71">
        <f t="shared" si="78"/>
        <v>2835.2923899999996</v>
      </c>
      <c r="Q207" s="35">
        <f t="shared" si="79"/>
        <v>5.7076100000003862</v>
      </c>
      <c r="R207" s="72">
        <v>1103756</v>
      </c>
      <c r="S207" s="72">
        <f t="shared" si="80"/>
        <v>2889</v>
      </c>
      <c r="T207" s="62">
        <f t="shared" si="83"/>
        <v>53.707610000000386</v>
      </c>
    </row>
    <row r="208" spans="1:20">
      <c r="A208" s="100"/>
      <c r="B208" s="15"/>
      <c r="C208" s="15"/>
      <c r="D208" s="16"/>
      <c r="E208" s="69">
        <v>161</v>
      </c>
      <c r="F208" s="136" t="s">
        <v>102</v>
      </c>
      <c r="G208" s="37">
        <f>58+77+270+534</f>
        <v>939</v>
      </c>
      <c r="H208" s="37">
        <v>939</v>
      </c>
      <c r="I208" s="37">
        <v>939</v>
      </c>
      <c r="J208" s="75">
        <f t="shared" ref="J208:J210" si="103">M208</f>
        <v>937.85000000000014</v>
      </c>
      <c r="K208" s="35">
        <f>'1.08'!M208</f>
        <v>404.16</v>
      </c>
      <c r="L208" s="35">
        <v>533.69000000000005</v>
      </c>
      <c r="M208" s="93">
        <f t="shared" si="101"/>
        <v>937.85000000000014</v>
      </c>
      <c r="N208" s="93">
        <f t="shared" si="102"/>
        <v>1.1499999999998636</v>
      </c>
      <c r="O208" s="70">
        <f t="shared" si="87"/>
        <v>99.877529286474982</v>
      </c>
      <c r="P208" s="71">
        <f t="shared" si="78"/>
        <v>0</v>
      </c>
      <c r="Q208" s="35">
        <f t="shared" si="79"/>
        <v>1.1499999999998636</v>
      </c>
      <c r="R208" s="72">
        <v>1103757</v>
      </c>
      <c r="S208" s="72">
        <f t="shared" si="80"/>
        <v>1.1499999999998636</v>
      </c>
      <c r="T208" s="62">
        <f t="shared" si="83"/>
        <v>1.1499999999998636</v>
      </c>
    </row>
    <row r="209" spans="1:20">
      <c r="A209" s="100"/>
      <c r="B209" s="15"/>
      <c r="C209" s="15"/>
      <c r="D209" s="16"/>
      <c r="E209" s="69">
        <v>168</v>
      </c>
      <c r="F209" s="136" t="s">
        <v>167</v>
      </c>
      <c r="G209" s="37">
        <f>1+56</f>
        <v>57</v>
      </c>
      <c r="H209" s="37">
        <v>57</v>
      </c>
      <c r="I209" s="37">
        <v>57</v>
      </c>
      <c r="J209" s="75">
        <f t="shared" si="103"/>
        <v>56.037739999999999</v>
      </c>
      <c r="K209" s="35">
        <f>'1.08'!M209</f>
        <v>56.037739999999999</v>
      </c>
      <c r="L209" s="35"/>
      <c r="M209" s="93">
        <f t="shared" si="101"/>
        <v>56.037739999999999</v>
      </c>
      <c r="N209" s="93">
        <f t="shared" si="102"/>
        <v>0.96226000000000056</v>
      </c>
      <c r="O209" s="70">
        <f t="shared" si="87"/>
        <v>98.311824561403512</v>
      </c>
      <c r="P209" s="71"/>
      <c r="Q209" s="35"/>
      <c r="R209" s="72"/>
      <c r="S209" s="72"/>
    </row>
    <row r="210" spans="1:20">
      <c r="A210" s="100"/>
      <c r="B210" s="15"/>
      <c r="C210" s="15"/>
      <c r="D210" s="16"/>
      <c r="E210" s="20">
        <v>169</v>
      </c>
      <c r="F210" s="136" t="s">
        <v>103</v>
      </c>
      <c r="G210" s="37">
        <f>652+400+154+616+183</f>
        <v>2005</v>
      </c>
      <c r="H210" s="37">
        <v>1989</v>
      </c>
      <c r="I210" s="37">
        <v>1989</v>
      </c>
      <c r="J210" s="75">
        <f t="shared" si="103"/>
        <v>1988.2219500000001</v>
      </c>
      <c r="K210" s="35">
        <f>'1.08'!M210</f>
        <v>1497.91588</v>
      </c>
      <c r="L210" s="35">
        <v>490.30606999999998</v>
      </c>
      <c r="M210" s="93">
        <f t="shared" si="101"/>
        <v>1988.2219500000001</v>
      </c>
      <c r="N210" s="93">
        <f t="shared" si="102"/>
        <v>0.77804999999989377</v>
      </c>
      <c r="O210" s="70">
        <f t="shared" si="87"/>
        <v>99.960882352941184</v>
      </c>
      <c r="P210" s="71">
        <f t="shared" si="78"/>
        <v>0</v>
      </c>
      <c r="Q210" s="35">
        <f t="shared" si="79"/>
        <v>0.77804999999989377</v>
      </c>
      <c r="R210" s="72">
        <v>1103758</v>
      </c>
      <c r="S210" s="72">
        <f t="shared" si="80"/>
        <v>16.778049999999894</v>
      </c>
      <c r="T210" s="62">
        <f t="shared" si="83"/>
        <v>16.778049999999894</v>
      </c>
    </row>
    <row r="211" spans="1:20" ht="25.5">
      <c r="A211" s="100"/>
      <c r="B211" s="15"/>
      <c r="C211" s="57" t="s">
        <v>43</v>
      </c>
      <c r="D211" s="16"/>
      <c r="E211" s="20"/>
      <c r="F211" s="139" t="s">
        <v>119</v>
      </c>
      <c r="G211" s="59">
        <f t="shared" ref="G211:N211" si="104">G212</f>
        <v>432269</v>
      </c>
      <c r="H211" s="59">
        <f t="shared" si="104"/>
        <v>350929</v>
      </c>
      <c r="I211" s="59">
        <f t="shared" si="104"/>
        <v>314842</v>
      </c>
      <c r="J211" s="29">
        <f t="shared" si="104"/>
        <v>350929</v>
      </c>
      <c r="K211" s="29">
        <f t="shared" si="104"/>
        <v>281696.27747999999</v>
      </c>
      <c r="L211" s="59">
        <f t="shared" si="104"/>
        <v>33144.911</v>
      </c>
      <c r="M211" s="29">
        <f t="shared" si="104"/>
        <v>314841.18848000001</v>
      </c>
      <c r="N211" s="29">
        <f t="shared" si="104"/>
        <v>0.81151999998837709</v>
      </c>
      <c r="O211" s="70"/>
      <c r="P211" s="71">
        <f t="shared" si="78"/>
        <v>36087.811519999988</v>
      </c>
      <c r="Q211" s="35">
        <f t="shared" si="79"/>
        <v>0</v>
      </c>
      <c r="R211" s="72">
        <v>1103759</v>
      </c>
      <c r="S211" s="72">
        <f t="shared" si="80"/>
        <v>117427.81151999999</v>
      </c>
    </row>
    <row r="212" spans="1:20">
      <c r="A212" s="9"/>
      <c r="B212" s="12"/>
      <c r="C212" s="12"/>
      <c r="D212" s="11" t="s">
        <v>7</v>
      </c>
      <c r="E212" s="97"/>
      <c r="F212" s="122" t="s">
        <v>85</v>
      </c>
      <c r="G212" s="98">
        <f>G213+G214</f>
        <v>432269</v>
      </c>
      <c r="H212" s="98">
        <f t="shared" ref="H212:N212" si="105">H213+H214</f>
        <v>350929</v>
      </c>
      <c r="I212" s="98">
        <f t="shared" si="105"/>
        <v>314842</v>
      </c>
      <c r="J212" s="99">
        <f t="shared" si="105"/>
        <v>350929</v>
      </c>
      <c r="K212" s="99">
        <f t="shared" si="105"/>
        <v>281696.27747999999</v>
      </c>
      <c r="L212" s="98">
        <f t="shared" si="105"/>
        <v>33144.911</v>
      </c>
      <c r="M212" s="32">
        <f t="shared" si="105"/>
        <v>314841.18848000001</v>
      </c>
      <c r="N212" s="32">
        <f t="shared" si="105"/>
        <v>0.81151999998837709</v>
      </c>
      <c r="O212" s="68">
        <f>M212/I212*100</f>
        <v>99.999742245316696</v>
      </c>
      <c r="P212" s="71">
        <f t="shared" si="78"/>
        <v>36087.811519999988</v>
      </c>
      <c r="Q212" s="35">
        <f t="shared" si="79"/>
        <v>0</v>
      </c>
      <c r="R212" s="72">
        <v>1103760</v>
      </c>
      <c r="S212" s="72">
        <f t="shared" si="80"/>
        <v>117427.81151999999</v>
      </c>
      <c r="T212" s="62">
        <f>G212-J212</f>
        <v>81340</v>
      </c>
    </row>
    <row r="213" spans="1:20" ht="25.5">
      <c r="A213" s="100"/>
      <c r="B213" s="15"/>
      <c r="C213" s="15"/>
      <c r="D213" s="16"/>
      <c r="E213" s="20">
        <v>414</v>
      </c>
      <c r="F213" s="50" t="s">
        <v>105</v>
      </c>
      <c r="G213" s="37">
        <v>55959</v>
      </c>
      <c r="H213" s="37"/>
      <c r="I213" s="37"/>
      <c r="J213" s="75">
        <f>M213</f>
        <v>0</v>
      </c>
      <c r="K213" s="35">
        <f>'1.08'!M213</f>
        <v>0</v>
      </c>
      <c r="L213" s="35"/>
      <c r="M213" s="93">
        <f t="shared" ref="M213:M214" si="106">K213+L213</f>
        <v>0</v>
      </c>
      <c r="N213" s="93">
        <f t="shared" ref="N213:N214" si="107">I213-M213</f>
        <v>0</v>
      </c>
      <c r="O213" s="70" t="e">
        <f t="shared" ref="O213:O214" si="108">M213/I213*100</f>
        <v>#DIV/0!</v>
      </c>
      <c r="P213" s="71">
        <f t="shared" si="78"/>
        <v>0</v>
      </c>
      <c r="Q213" s="35">
        <f t="shared" si="79"/>
        <v>0</v>
      </c>
      <c r="R213" s="72">
        <v>1103761</v>
      </c>
      <c r="S213" s="72">
        <f t="shared" si="80"/>
        <v>55959</v>
      </c>
    </row>
    <row r="214" spans="1:20" ht="25.5">
      <c r="A214" s="100"/>
      <c r="B214" s="15"/>
      <c r="C214" s="15"/>
      <c r="D214" s="16"/>
      <c r="E214" s="20">
        <v>421</v>
      </c>
      <c r="F214" s="136" t="s">
        <v>156</v>
      </c>
      <c r="G214" s="37">
        <f>350929+25381</f>
        <v>376310</v>
      </c>
      <c r="H214" s="37">
        <v>350929</v>
      </c>
      <c r="I214" s="37">
        <v>314842</v>
      </c>
      <c r="J214" s="75">
        <v>350929</v>
      </c>
      <c r="K214" s="35">
        <f>'1.08'!M214</f>
        <v>281696.27747999999</v>
      </c>
      <c r="L214" s="35">
        <v>33144.911</v>
      </c>
      <c r="M214" s="93">
        <f t="shared" si="106"/>
        <v>314841.18848000001</v>
      </c>
      <c r="N214" s="93">
        <f t="shared" si="107"/>
        <v>0.81151999998837709</v>
      </c>
      <c r="O214" s="70">
        <f t="shared" si="108"/>
        <v>99.999742245316696</v>
      </c>
      <c r="P214" s="71">
        <f t="shared" si="78"/>
        <v>36087.811519999988</v>
      </c>
      <c r="Q214" s="35">
        <f t="shared" si="79"/>
        <v>0</v>
      </c>
      <c r="R214" s="72">
        <v>1103762</v>
      </c>
      <c r="S214" s="72">
        <f t="shared" si="80"/>
        <v>61468.811519999988</v>
      </c>
    </row>
    <row r="215" spans="1:20" s="126" customFormat="1">
      <c r="A215" s="100"/>
      <c r="B215" s="8" t="s">
        <v>20</v>
      </c>
      <c r="C215" s="8"/>
      <c r="D215" s="21"/>
      <c r="E215" s="21"/>
      <c r="F215" s="139" t="s">
        <v>125</v>
      </c>
      <c r="G215" s="59">
        <f>G216+G236</f>
        <v>636935</v>
      </c>
      <c r="H215" s="59">
        <f t="shared" ref="H215:N215" si="109">H216+H236</f>
        <v>422006.4</v>
      </c>
      <c r="I215" s="59">
        <f t="shared" si="109"/>
        <v>381978.4</v>
      </c>
      <c r="J215" s="29">
        <f t="shared" si="109"/>
        <v>416743.98471000005</v>
      </c>
      <c r="K215" s="29">
        <f t="shared" si="109"/>
        <v>322250.75659000006</v>
      </c>
      <c r="L215" s="29">
        <f t="shared" si="109"/>
        <v>58670.563849999999</v>
      </c>
      <c r="M215" s="29">
        <f t="shared" si="109"/>
        <v>380921.32043999998</v>
      </c>
      <c r="N215" s="29">
        <f t="shared" si="109"/>
        <v>1057.0795600000033</v>
      </c>
      <c r="O215" s="68">
        <f t="shared" si="87"/>
        <v>99.723261954079064</v>
      </c>
      <c r="P215" s="71">
        <f t="shared" si="78"/>
        <v>35822.664270000067</v>
      </c>
      <c r="Q215" s="35">
        <f t="shared" si="79"/>
        <v>5262.4152899999754</v>
      </c>
      <c r="R215" s="72">
        <v>1103763</v>
      </c>
      <c r="S215" s="72">
        <f t="shared" si="80"/>
        <v>256013.67956000002</v>
      </c>
      <c r="T215" s="87">
        <f>G215-J215</f>
        <v>220191.01528999995</v>
      </c>
    </row>
    <row r="216" spans="1:20" s="95" customFormat="1" ht="63.75">
      <c r="A216" s="100"/>
      <c r="B216" s="8"/>
      <c r="C216" s="17" t="s">
        <v>23</v>
      </c>
      <c r="D216" s="17"/>
      <c r="E216" s="21"/>
      <c r="F216" s="139" t="s">
        <v>124</v>
      </c>
      <c r="G216" s="59">
        <f>G217</f>
        <v>636935</v>
      </c>
      <c r="H216" s="59">
        <f t="shared" ref="H216:N216" si="110">H217</f>
        <v>422006.4</v>
      </c>
      <c r="I216" s="59">
        <f t="shared" si="110"/>
        <v>381978.4</v>
      </c>
      <c r="J216" s="59">
        <f t="shared" si="110"/>
        <v>416743.98471000005</v>
      </c>
      <c r="K216" s="29">
        <f t="shared" si="110"/>
        <v>322250.75659000006</v>
      </c>
      <c r="L216" s="29">
        <f t="shared" si="110"/>
        <v>58670.563849999999</v>
      </c>
      <c r="M216" s="29">
        <f t="shared" si="110"/>
        <v>380921.32043999998</v>
      </c>
      <c r="N216" s="29">
        <f t="shared" si="110"/>
        <v>1057.0795600000033</v>
      </c>
      <c r="O216" s="68">
        <f t="shared" si="87"/>
        <v>99.723261954079064</v>
      </c>
      <c r="P216" s="71">
        <f t="shared" si="78"/>
        <v>35822.664270000067</v>
      </c>
      <c r="Q216" s="35">
        <f t="shared" si="79"/>
        <v>5262.4152899999754</v>
      </c>
      <c r="R216" s="72">
        <v>1103764</v>
      </c>
      <c r="S216" s="72">
        <f t="shared" si="80"/>
        <v>256013.67956000002</v>
      </c>
      <c r="T216" s="62">
        <f t="shared" si="83"/>
        <v>220191.01528999995</v>
      </c>
    </row>
    <row r="217" spans="1:20">
      <c r="A217" s="100"/>
      <c r="B217" s="8"/>
      <c r="C217" s="17"/>
      <c r="D217" s="17" t="s">
        <v>7</v>
      </c>
      <c r="E217" s="10"/>
      <c r="F217" s="140" t="s">
        <v>85</v>
      </c>
      <c r="G217" s="59">
        <f>SUM(G218:G235)</f>
        <v>636935</v>
      </c>
      <c r="H217" s="59">
        <f>SUM(H218:H235)</f>
        <v>422006.4</v>
      </c>
      <c r="I217" s="59">
        <f>SUM(I218:I235)</f>
        <v>381978.4</v>
      </c>
      <c r="J217" s="29">
        <f>SUM(J218:J235)</f>
        <v>416743.98471000005</v>
      </c>
      <c r="K217" s="29">
        <f>SUM(K218:K235)</f>
        <v>322250.75659000006</v>
      </c>
      <c r="L217" s="29">
        <f t="shared" ref="L217:N217" si="111">SUM(L218:L235)</f>
        <v>58670.563849999999</v>
      </c>
      <c r="M217" s="29">
        <f>SUM(M218:M235)</f>
        <v>380921.32043999998</v>
      </c>
      <c r="N217" s="29">
        <f t="shared" si="111"/>
        <v>1057.0795600000033</v>
      </c>
      <c r="O217" s="68">
        <f>M217/I217*100</f>
        <v>99.723261954079064</v>
      </c>
      <c r="P217" s="71">
        <f t="shared" si="78"/>
        <v>35822.664270000067</v>
      </c>
      <c r="Q217" s="35">
        <f t="shared" si="79"/>
        <v>5262.4152899999754</v>
      </c>
      <c r="R217" s="72">
        <v>1103765</v>
      </c>
      <c r="S217" s="72">
        <f t="shared" si="80"/>
        <v>256013.67956000002</v>
      </c>
      <c r="T217" s="62">
        <f t="shared" si="83"/>
        <v>220191.01528999995</v>
      </c>
    </row>
    <row r="218" spans="1:20">
      <c r="A218" s="100"/>
      <c r="B218" s="9"/>
      <c r="C218" s="9"/>
      <c r="D218" s="69"/>
      <c r="E218" s="69">
        <v>111</v>
      </c>
      <c r="F218" s="136" t="s">
        <v>86</v>
      </c>
      <c r="G218" s="26">
        <f>367447-355</f>
        <v>367092</v>
      </c>
      <c r="H218" s="26">
        <v>246790</v>
      </c>
      <c r="I218" s="26">
        <v>246790</v>
      </c>
      <c r="J218" s="27">
        <f>M218</f>
        <v>246730.845</v>
      </c>
      <c r="K218" s="35">
        <f>'1.08'!M218</f>
        <v>213558.29300000001</v>
      </c>
      <c r="L218" s="27">
        <v>33172.552000000003</v>
      </c>
      <c r="M218" s="93">
        <f>K218+L218</f>
        <v>246730.845</v>
      </c>
      <c r="N218" s="93">
        <f t="shared" si="102"/>
        <v>59.154999999998836</v>
      </c>
      <c r="O218" s="70">
        <f t="shared" si="87"/>
        <v>99.976030228129176</v>
      </c>
      <c r="P218" s="71">
        <f t="shared" si="78"/>
        <v>0</v>
      </c>
      <c r="Q218" s="35">
        <f t="shared" si="79"/>
        <v>59.154999999998836</v>
      </c>
      <c r="R218" s="72">
        <v>1103766</v>
      </c>
      <c r="S218" s="72">
        <f t="shared" si="80"/>
        <v>120361.155</v>
      </c>
      <c r="T218" s="62">
        <f t="shared" si="83"/>
        <v>120361.155</v>
      </c>
    </row>
    <row r="219" spans="1:20">
      <c r="A219" s="100"/>
      <c r="B219" s="9"/>
      <c r="C219" s="9"/>
      <c r="D219" s="69"/>
      <c r="E219" s="69">
        <v>112</v>
      </c>
      <c r="F219" s="136" t="s">
        <v>87</v>
      </c>
      <c r="G219" s="26">
        <v>355</v>
      </c>
      <c r="H219" s="26">
        <v>355</v>
      </c>
      <c r="I219" s="26">
        <v>355</v>
      </c>
      <c r="J219" s="27">
        <f t="shared" ref="J219:J235" si="112">M219</f>
        <v>353.988</v>
      </c>
      <c r="K219" s="35">
        <f>'1.08'!M219</f>
        <v>353.988</v>
      </c>
      <c r="L219" s="27"/>
      <c r="M219" s="93">
        <f>K219+L219</f>
        <v>353.988</v>
      </c>
      <c r="N219" s="93">
        <f t="shared" si="102"/>
        <v>1.0120000000000005</v>
      </c>
      <c r="O219" s="70">
        <f t="shared" si="87"/>
        <v>99.714929577464787</v>
      </c>
      <c r="P219" s="71">
        <f t="shared" si="78"/>
        <v>0</v>
      </c>
      <c r="Q219" s="35">
        <f t="shared" si="79"/>
        <v>1.0120000000000005</v>
      </c>
      <c r="R219" s="72">
        <v>1103767</v>
      </c>
      <c r="S219" s="72">
        <f t="shared" si="80"/>
        <v>1.0120000000000005</v>
      </c>
    </row>
    <row r="220" spans="1:20">
      <c r="A220" s="100"/>
      <c r="B220" s="9"/>
      <c r="C220" s="9"/>
      <c r="D220" s="69"/>
      <c r="E220" s="76">
        <v>113</v>
      </c>
      <c r="F220" s="136" t="s">
        <v>88</v>
      </c>
      <c r="G220" s="26">
        <v>11349</v>
      </c>
      <c r="H220" s="26">
        <v>6094</v>
      </c>
      <c r="I220" s="26">
        <v>6094</v>
      </c>
      <c r="J220" s="27">
        <f t="shared" si="112"/>
        <v>5987.7359999999999</v>
      </c>
      <c r="K220" s="35">
        <f>'1.08'!M220</f>
        <v>4511.0439999999999</v>
      </c>
      <c r="L220" s="27">
        <v>1476.692</v>
      </c>
      <c r="M220" s="93">
        <f t="shared" ref="M220:M235" si="113">K220+L220</f>
        <v>5987.7359999999999</v>
      </c>
      <c r="N220" s="93">
        <f>I220-M220</f>
        <v>106.26400000000012</v>
      </c>
      <c r="O220" s="70">
        <f>M220/I220*100</f>
        <v>98.256252051197905</v>
      </c>
      <c r="P220" s="71">
        <f t="shared" si="78"/>
        <v>0</v>
      </c>
      <c r="Q220" s="35">
        <f t="shared" si="79"/>
        <v>106.26400000000012</v>
      </c>
      <c r="R220" s="72">
        <v>1103768</v>
      </c>
      <c r="S220" s="72">
        <f t="shared" si="80"/>
        <v>5361.2640000000001</v>
      </c>
      <c r="T220" s="62">
        <f t="shared" si="83"/>
        <v>5361.2640000000001</v>
      </c>
    </row>
    <row r="221" spans="1:20">
      <c r="A221" s="100"/>
      <c r="B221" s="9"/>
      <c r="C221" s="9"/>
      <c r="D221" s="69"/>
      <c r="E221" s="69">
        <v>116</v>
      </c>
      <c r="F221" s="136" t="s">
        <v>89</v>
      </c>
      <c r="G221" s="26">
        <v>11283</v>
      </c>
      <c r="H221" s="26">
        <v>5614</v>
      </c>
      <c r="I221" s="26">
        <v>5614</v>
      </c>
      <c r="J221" s="27">
        <f t="shared" si="112"/>
        <v>5602.9519999999993</v>
      </c>
      <c r="K221" s="35">
        <f>'1.08'!M221</f>
        <v>4976.2709999999997</v>
      </c>
      <c r="L221" s="27">
        <v>626.68100000000004</v>
      </c>
      <c r="M221" s="93">
        <f t="shared" si="113"/>
        <v>5602.9519999999993</v>
      </c>
      <c r="N221" s="93">
        <f>I221-M221</f>
        <v>11.048000000000684</v>
      </c>
      <c r="O221" s="70">
        <f>M221/I221*100</f>
        <v>99.803206270039183</v>
      </c>
      <c r="P221" s="71">
        <f t="shared" si="78"/>
        <v>0</v>
      </c>
      <c r="Q221" s="35">
        <f t="shared" si="79"/>
        <v>11.048000000000684</v>
      </c>
      <c r="R221" s="72">
        <v>1103769</v>
      </c>
      <c r="S221" s="72">
        <f t="shared" si="80"/>
        <v>5680.0480000000007</v>
      </c>
    </row>
    <row r="222" spans="1:20">
      <c r="A222" s="100"/>
      <c r="B222" s="9"/>
      <c r="C222" s="9"/>
      <c r="D222" s="69"/>
      <c r="E222" s="69">
        <v>121</v>
      </c>
      <c r="F222" s="136" t="s">
        <v>90</v>
      </c>
      <c r="G222" s="26">
        <v>19034</v>
      </c>
      <c r="H222" s="26">
        <v>12832</v>
      </c>
      <c r="I222" s="26">
        <v>12832</v>
      </c>
      <c r="J222" s="27">
        <f t="shared" si="112"/>
        <v>12832</v>
      </c>
      <c r="K222" s="35">
        <f>'1.08'!M222</f>
        <v>11228</v>
      </c>
      <c r="L222" s="27">
        <v>1604</v>
      </c>
      <c r="M222" s="93">
        <f t="shared" si="113"/>
        <v>12832</v>
      </c>
      <c r="N222" s="93">
        <f t="shared" si="102"/>
        <v>0</v>
      </c>
      <c r="O222" s="70">
        <f t="shared" si="87"/>
        <v>100</v>
      </c>
      <c r="P222" s="71">
        <f t="shared" si="78"/>
        <v>0</v>
      </c>
      <c r="Q222" s="35">
        <f t="shared" si="79"/>
        <v>0</v>
      </c>
      <c r="R222" s="72">
        <v>1103770</v>
      </c>
      <c r="S222" s="72">
        <f t="shared" si="80"/>
        <v>6202</v>
      </c>
      <c r="T222" s="62">
        <f t="shared" si="83"/>
        <v>6202</v>
      </c>
    </row>
    <row r="223" spans="1:20">
      <c r="A223" s="100"/>
      <c r="B223" s="9"/>
      <c r="C223" s="9"/>
      <c r="D223" s="69"/>
      <c r="E223" s="69">
        <v>122</v>
      </c>
      <c r="F223" s="136" t="s">
        <v>91</v>
      </c>
      <c r="G223" s="26">
        <v>16535</v>
      </c>
      <c r="H223" s="26">
        <v>10494</v>
      </c>
      <c r="I223" s="26">
        <v>10494</v>
      </c>
      <c r="J223" s="27">
        <v>10494</v>
      </c>
      <c r="K223" s="35">
        <f>'1.08'!M223</f>
        <v>9275.594000000001</v>
      </c>
      <c r="L223" s="27">
        <v>1218.4059999999999</v>
      </c>
      <c r="M223" s="93">
        <f t="shared" si="113"/>
        <v>10494</v>
      </c>
      <c r="N223" s="93">
        <f t="shared" si="102"/>
        <v>0</v>
      </c>
      <c r="O223" s="70">
        <f t="shared" si="87"/>
        <v>100</v>
      </c>
      <c r="P223" s="71">
        <f t="shared" si="78"/>
        <v>0</v>
      </c>
      <c r="Q223" s="35">
        <f t="shared" si="79"/>
        <v>0</v>
      </c>
      <c r="R223" s="72">
        <v>1103771</v>
      </c>
      <c r="S223" s="72">
        <f t="shared" si="80"/>
        <v>6041</v>
      </c>
      <c r="T223" s="62">
        <f t="shared" si="83"/>
        <v>6041</v>
      </c>
    </row>
    <row r="224" spans="1:20">
      <c r="A224" s="100"/>
      <c r="B224" s="9"/>
      <c r="C224" s="9"/>
      <c r="D224" s="69"/>
      <c r="E224" s="69">
        <v>123</v>
      </c>
      <c r="F224" s="136" t="s">
        <v>92</v>
      </c>
      <c r="G224" s="26">
        <v>532</v>
      </c>
      <c r="H224" s="26">
        <v>496</v>
      </c>
      <c r="I224" s="26">
        <v>496</v>
      </c>
      <c r="J224" s="27">
        <f t="shared" si="112"/>
        <v>77.43374</v>
      </c>
      <c r="K224" s="35">
        <f>'1.08'!M224</f>
        <v>77.43374</v>
      </c>
      <c r="L224" s="27"/>
      <c r="M224" s="93">
        <f t="shared" si="113"/>
        <v>77.43374</v>
      </c>
      <c r="N224" s="93">
        <f t="shared" si="102"/>
        <v>418.56626</v>
      </c>
      <c r="O224" s="70">
        <f>M224/I224*100</f>
        <v>15.611641129032257</v>
      </c>
      <c r="P224" s="71">
        <f t="shared" si="78"/>
        <v>0</v>
      </c>
      <c r="Q224" s="35">
        <f t="shared" si="79"/>
        <v>418.56626</v>
      </c>
      <c r="R224" s="72">
        <v>1103772</v>
      </c>
      <c r="S224" s="72">
        <f t="shared" si="80"/>
        <v>454.56626</v>
      </c>
      <c r="T224" s="62">
        <f t="shared" si="83"/>
        <v>454.56626</v>
      </c>
    </row>
    <row r="225" spans="1:20">
      <c r="A225" s="100"/>
      <c r="B225" s="9"/>
      <c r="C225" s="9"/>
      <c r="D225" s="69"/>
      <c r="E225" s="69">
        <v>124</v>
      </c>
      <c r="F225" s="136" t="s">
        <v>93</v>
      </c>
      <c r="G225" s="26">
        <v>11023</v>
      </c>
      <c r="H225" s="26">
        <v>5250</v>
      </c>
      <c r="I225" s="26">
        <v>5250</v>
      </c>
      <c r="J225" s="27">
        <f t="shared" si="112"/>
        <v>5228.72</v>
      </c>
      <c r="K225" s="35">
        <f>'1.08'!M225</f>
        <v>4555.2330000000002</v>
      </c>
      <c r="L225" s="27">
        <v>673.48699999999997</v>
      </c>
      <c r="M225" s="93">
        <f t="shared" si="113"/>
        <v>5228.72</v>
      </c>
      <c r="N225" s="93">
        <f t="shared" si="102"/>
        <v>21.279999999999745</v>
      </c>
      <c r="O225" s="70">
        <f t="shared" si="87"/>
        <v>99.594666666666683</v>
      </c>
      <c r="P225" s="71">
        <f t="shared" ref="P225:P296" si="114">J225-M225</f>
        <v>0</v>
      </c>
      <c r="Q225" s="35">
        <f t="shared" ref="Q225:Q296" si="115">H225-J225</f>
        <v>21.279999999999745</v>
      </c>
      <c r="R225" s="72">
        <v>1103773</v>
      </c>
      <c r="S225" s="72">
        <f t="shared" ref="S225:S296" si="116">G225-M225</f>
        <v>5794.28</v>
      </c>
      <c r="T225" s="62">
        <f t="shared" si="83"/>
        <v>5794.28</v>
      </c>
    </row>
    <row r="226" spans="1:20">
      <c r="A226" s="100"/>
      <c r="B226" s="9"/>
      <c r="C226" s="9"/>
      <c r="D226" s="69"/>
      <c r="E226" s="69">
        <v>141</v>
      </c>
      <c r="F226" s="136" t="s">
        <v>116</v>
      </c>
      <c r="G226" s="26">
        <v>103078</v>
      </c>
      <c r="H226" s="26">
        <v>80711.199999999997</v>
      </c>
      <c r="I226" s="26">
        <v>48026.3</v>
      </c>
      <c r="J226" s="27">
        <v>80711.125</v>
      </c>
      <c r="K226" s="35">
        <f>'1.08'!M226</f>
        <v>35326.265299999999</v>
      </c>
      <c r="L226" s="27">
        <v>12700.0347</v>
      </c>
      <c r="M226" s="93">
        <f t="shared" si="113"/>
        <v>48026.3</v>
      </c>
      <c r="N226" s="93">
        <f t="shared" si="102"/>
        <v>0</v>
      </c>
      <c r="O226" s="70">
        <f t="shared" si="87"/>
        <v>100</v>
      </c>
      <c r="P226" s="71">
        <f t="shared" si="114"/>
        <v>32684.824999999997</v>
      </c>
      <c r="Q226" s="35">
        <f t="shared" si="115"/>
        <v>7.4999999997089617E-2</v>
      </c>
      <c r="R226" s="72">
        <v>1103774</v>
      </c>
      <c r="S226" s="72">
        <f t="shared" si="116"/>
        <v>55051.7</v>
      </c>
      <c r="T226" s="62">
        <f t="shared" si="83"/>
        <v>22366.875</v>
      </c>
    </row>
    <row r="227" spans="1:20" s="73" customFormat="1">
      <c r="A227" s="100"/>
      <c r="B227" s="9"/>
      <c r="C227" s="9"/>
      <c r="D227" s="69"/>
      <c r="E227" s="69">
        <v>142</v>
      </c>
      <c r="F227" s="136" t="s">
        <v>122</v>
      </c>
      <c r="G227" s="26">
        <f>26237-10823</f>
        <v>15414</v>
      </c>
      <c r="H227" s="26">
        <v>2796</v>
      </c>
      <c r="I227" s="26">
        <v>2796</v>
      </c>
      <c r="J227" s="27">
        <v>2795.3791999999999</v>
      </c>
      <c r="K227" s="35">
        <f>'1.08'!M227</f>
        <v>2509.7856999999999</v>
      </c>
      <c r="L227" s="27">
        <v>266.09350000000001</v>
      </c>
      <c r="M227" s="93">
        <f t="shared" si="113"/>
        <v>2775.8791999999999</v>
      </c>
      <c r="N227" s="93">
        <f t="shared" si="102"/>
        <v>20.120800000000145</v>
      </c>
      <c r="O227" s="70">
        <f t="shared" si="87"/>
        <v>99.280371959942769</v>
      </c>
      <c r="P227" s="71">
        <f t="shared" si="114"/>
        <v>19.5</v>
      </c>
      <c r="Q227" s="35">
        <f t="shared" si="115"/>
        <v>0.62080000000014479</v>
      </c>
      <c r="R227" s="72">
        <v>1103775</v>
      </c>
      <c r="S227" s="72">
        <f t="shared" si="116"/>
        <v>12638.120800000001</v>
      </c>
      <c r="T227" s="62">
        <f t="shared" si="83"/>
        <v>12618.620800000001</v>
      </c>
    </row>
    <row r="228" spans="1:20">
      <c r="A228" s="100"/>
      <c r="B228" s="9"/>
      <c r="C228" s="9"/>
      <c r="D228" s="69"/>
      <c r="E228" s="69">
        <v>144</v>
      </c>
      <c r="F228" s="136" t="s">
        <v>97</v>
      </c>
      <c r="G228" s="26">
        <v>3824</v>
      </c>
      <c r="H228" s="26">
        <v>3824</v>
      </c>
      <c r="I228" s="26">
        <v>1792.5</v>
      </c>
      <c r="J228" s="27">
        <f>M228</f>
        <v>1678.0650000000001</v>
      </c>
      <c r="K228" s="35">
        <f>'1.08'!M228</f>
        <v>1453.6548</v>
      </c>
      <c r="L228" s="27">
        <v>224.4102</v>
      </c>
      <c r="M228" s="93">
        <f t="shared" si="113"/>
        <v>1678.0650000000001</v>
      </c>
      <c r="N228" s="93">
        <f t="shared" si="102"/>
        <v>114.43499999999995</v>
      </c>
      <c r="O228" s="70">
        <f t="shared" si="87"/>
        <v>93.615899581589957</v>
      </c>
      <c r="P228" s="71">
        <f t="shared" si="114"/>
        <v>0</v>
      </c>
      <c r="Q228" s="35">
        <f t="shared" si="115"/>
        <v>2145.9349999999999</v>
      </c>
      <c r="R228" s="72">
        <v>1103776</v>
      </c>
      <c r="S228" s="72">
        <f t="shared" si="116"/>
        <v>2145.9349999999999</v>
      </c>
      <c r="T228" s="62">
        <f t="shared" si="83"/>
        <v>2145.9349999999999</v>
      </c>
    </row>
    <row r="229" spans="1:20">
      <c r="A229" s="100"/>
      <c r="B229" s="9"/>
      <c r="C229" s="9"/>
      <c r="D229" s="69"/>
      <c r="E229" s="69">
        <v>149</v>
      </c>
      <c r="F229" s="136" t="s">
        <v>98</v>
      </c>
      <c r="G229" s="26">
        <v>9021</v>
      </c>
      <c r="H229" s="26">
        <v>5837.3</v>
      </c>
      <c r="I229" s="26">
        <v>5836.8</v>
      </c>
      <c r="J229" s="27">
        <f t="shared" si="112"/>
        <v>5787.5906599999998</v>
      </c>
      <c r="K229" s="35">
        <f>'1.08'!M229</f>
        <v>5448.1156599999995</v>
      </c>
      <c r="L229" s="27">
        <v>339.47500000000002</v>
      </c>
      <c r="M229" s="93">
        <f t="shared" si="113"/>
        <v>5787.5906599999998</v>
      </c>
      <c r="N229" s="93">
        <f t="shared" si="102"/>
        <v>49.209340000000338</v>
      </c>
      <c r="O229" s="70">
        <f t="shared" si="87"/>
        <v>99.156912349232456</v>
      </c>
      <c r="P229" s="71">
        <f t="shared" si="114"/>
        <v>0</v>
      </c>
      <c r="Q229" s="35">
        <f t="shared" si="115"/>
        <v>49.709340000000338</v>
      </c>
      <c r="R229" s="72">
        <v>1103777</v>
      </c>
      <c r="S229" s="72">
        <f t="shared" si="116"/>
        <v>3233.4093400000002</v>
      </c>
      <c r="T229" s="62">
        <f t="shared" si="83"/>
        <v>3233.4093400000002</v>
      </c>
    </row>
    <row r="230" spans="1:20">
      <c r="A230" s="100"/>
      <c r="B230" s="9"/>
      <c r="C230" s="9"/>
      <c r="D230" s="69"/>
      <c r="E230" s="69">
        <v>151</v>
      </c>
      <c r="F230" s="136" t="s">
        <v>99</v>
      </c>
      <c r="G230" s="26">
        <v>33050</v>
      </c>
      <c r="H230" s="26">
        <v>23567.4</v>
      </c>
      <c r="I230" s="26">
        <v>23567.4</v>
      </c>
      <c r="J230" s="27">
        <f t="shared" si="112"/>
        <v>23567.392649999998</v>
      </c>
      <c r="K230" s="35">
        <f>'1.08'!M230</f>
        <v>19908.720259999998</v>
      </c>
      <c r="L230" s="27">
        <v>3658.6723900000002</v>
      </c>
      <c r="M230" s="93">
        <f t="shared" si="113"/>
        <v>23567.392649999998</v>
      </c>
      <c r="N230" s="93">
        <f t="shared" si="102"/>
        <v>7.3500000034982804E-3</v>
      </c>
      <c r="O230" s="70">
        <f t="shared" si="87"/>
        <v>99.999968812851634</v>
      </c>
      <c r="P230" s="71">
        <f t="shared" si="114"/>
        <v>0</v>
      </c>
      <c r="Q230" s="35">
        <f t="shared" si="115"/>
        <v>7.3500000034982804E-3</v>
      </c>
      <c r="R230" s="72">
        <v>1103778</v>
      </c>
      <c r="S230" s="72">
        <f t="shared" si="116"/>
        <v>9482.607350000002</v>
      </c>
      <c r="T230" s="62">
        <f t="shared" si="83"/>
        <v>9482.607350000002</v>
      </c>
    </row>
    <row r="231" spans="1:20">
      <c r="A231" s="100"/>
      <c r="B231" s="9"/>
      <c r="C231" s="9"/>
      <c r="D231" s="69"/>
      <c r="E231" s="69">
        <v>152</v>
      </c>
      <c r="F231" s="136" t="s">
        <v>100</v>
      </c>
      <c r="G231" s="26">
        <v>3322</v>
      </c>
      <c r="H231" s="26">
        <v>3322</v>
      </c>
      <c r="I231" s="26">
        <v>1108</v>
      </c>
      <c r="J231" s="27">
        <v>1939.52</v>
      </c>
      <c r="K231" s="35">
        <f>'1.08'!M231</f>
        <v>669.06344999999999</v>
      </c>
      <c r="L231" s="27">
        <v>188.08573000000001</v>
      </c>
      <c r="M231" s="93">
        <f t="shared" si="113"/>
        <v>857.14918</v>
      </c>
      <c r="N231" s="93">
        <f t="shared" si="102"/>
        <v>250.85082</v>
      </c>
      <c r="O231" s="70">
        <f t="shared" si="87"/>
        <v>77.360034296028886</v>
      </c>
      <c r="P231" s="71">
        <f t="shared" si="114"/>
        <v>1082.3708200000001</v>
      </c>
      <c r="Q231" s="35">
        <f t="shared" si="115"/>
        <v>1382.48</v>
      </c>
      <c r="R231" s="72">
        <v>1103779</v>
      </c>
      <c r="S231" s="72">
        <f t="shared" si="116"/>
        <v>2464.8508200000001</v>
      </c>
      <c r="T231" s="62">
        <f t="shared" si="83"/>
        <v>1382.48</v>
      </c>
    </row>
    <row r="232" spans="1:20">
      <c r="A232" s="100"/>
      <c r="B232" s="9"/>
      <c r="C232" s="9"/>
      <c r="D232" s="69"/>
      <c r="E232" s="69">
        <v>158</v>
      </c>
      <c r="F232" s="136" t="s">
        <v>101</v>
      </c>
      <c r="G232" s="26">
        <v>2290</v>
      </c>
      <c r="H232" s="26">
        <v>2290</v>
      </c>
      <c r="I232" s="26">
        <v>718.9</v>
      </c>
      <c r="J232" s="27">
        <v>1878.4</v>
      </c>
      <c r="K232" s="35">
        <f>'1.08'!M232</f>
        <v>595.68000000000006</v>
      </c>
      <c r="L232" s="27">
        <v>122</v>
      </c>
      <c r="M232" s="93">
        <f t="shared" si="113"/>
        <v>717.68000000000006</v>
      </c>
      <c r="N232" s="93">
        <f t="shared" si="102"/>
        <v>1.2199999999999136</v>
      </c>
      <c r="O232" s="70">
        <f t="shared" si="87"/>
        <v>99.830296285992503</v>
      </c>
      <c r="P232" s="71">
        <f t="shared" si="114"/>
        <v>1160.72</v>
      </c>
      <c r="Q232" s="35">
        <f t="shared" si="115"/>
        <v>411.59999999999991</v>
      </c>
      <c r="R232" s="72">
        <v>1103780</v>
      </c>
      <c r="S232" s="72">
        <f t="shared" si="116"/>
        <v>1572.32</v>
      </c>
      <c r="T232" s="62">
        <f t="shared" si="83"/>
        <v>411.59999999999991</v>
      </c>
    </row>
    <row r="233" spans="1:20">
      <c r="A233" s="100"/>
      <c r="B233" s="9"/>
      <c r="C233" s="9"/>
      <c r="D233" s="69"/>
      <c r="E233" s="69">
        <v>159</v>
      </c>
      <c r="F233" s="136" t="s">
        <v>84</v>
      </c>
      <c r="G233" s="26">
        <f>16176-1560+10823</f>
        <v>25439</v>
      </c>
      <c r="H233" s="26">
        <v>8263</v>
      </c>
      <c r="I233" s="26">
        <v>6737</v>
      </c>
      <c r="J233" s="27">
        <v>7608.3374599999997</v>
      </c>
      <c r="K233" s="35">
        <f>'1.08'!M233</f>
        <v>4805.1146799999997</v>
      </c>
      <c r="L233" s="27">
        <v>1927.97433</v>
      </c>
      <c r="M233" s="93">
        <f t="shared" si="113"/>
        <v>6733.0890099999997</v>
      </c>
      <c r="N233" s="93">
        <f t="shared" si="102"/>
        <v>3.9109900000003108</v>
      </c>
      <c r="O233" s="70">
        <f t="shared" si="87"/>
        <v>99.941947602790563</v>
      </c>
      <c r="P233" s="71">
        <f t="shared" si="114"/>
        <v>875.24845000000005</v>
      </c>
      <c r="Q233" s="35">
        <f t="shared" si="115"/>
        <v>654.66254000000026</v>
      </c>
      <c r="R233" s="72">
        <v>1103781</v>
      </c>
      <c r="S233" s="72">
        <f t="shared" si="116"/>
        <v>18705.91099</v>
      </c>
      <c r="T233" s="62">
        <f t="shared" si="83"/>
        <v>17830.662540000001</v>
      </c>
    </row>
    <row r="234" spans="1:20">
      <c r="A234" s="100"/>
      <c r="B234" s="9"/>
      <c r="C234" s="9"/>
      <c r="D234" s="69"/>
      <c r="E234" s="69">
        <v>161</v>
      </c>
      <c r="F234" s="136" t="s">
        <v>102</v>
      </c>
      <c r="G234" s="26">
        <v>4231</v>
      </c>
      <c r="H234" s="26">
        <v>3470.5</v>
      </c>
      <c r="I234" s="26">
        <v>3470.5</v>
      </c>
      <c r="J234" s="27">
        <f t="shared" si="112"/>
        <v>3470.5</v>
      </c>
      <c r="K234" s="35">
        <f>'1.08'!M234</f>
        <v>2998.5</v>
      </c>
      <c r="L234" s="27">
        <v>472</v>
      </c>
      <c r="M234" s="93">
        <f t="shared" si="113"/>
        <v>3470.5</v>
      </c>
      <c r="N234" s="93">
        <f t="shared" si="102"/>
        <v>0</v>
      </c>
      <c r="O234" s="70">
        <f t="shared" si="87"/>
        <v>100</v>
      </c>
      <c r="P234" s="71">
        <f t="shared" si="114"/>
        <v>0</v>
      </c>
      <c r="Q234" s="35">
        <f t="shared" si="115"/>
        <v>0</v>
      </c>
      <c r="R234" s="72">
        <v>1103782</v>
      </c>
      <c r="S234" s="72">
        <f t="shared" si="116"/>
        <v>760.5</v>
      </c>
      <c r="T234" s="62">
        <f t="shared" si="83"/>
        <v>760.5</v>
      </c>
    </row>
    <row r="235" spans="1:20">
      <c r="A235" s="100"/>
      <c r="B235" s="9"/>
      <c r="C235" s="9"/>
      <c r="D235" s="69"/>
      <c r="E235" s="69">
        <v>169</v>
      </c>
      <c r="F235" s="136" t="s">
        <v>103</v>
      </c>
      <c r="G235" s="26">
        <v>63</v>
      </c>
      <c r="H235" s="26"/>
      <c r="I235" s="26"/>
      <c r="J235" s="27">
        <f t="shared" si="112"/>
        <v>0</v>
      </c>
      <c r="K235" s="35">
        <f>'1.08'!M235</f>
        <v>0</v>
      </c>
      <c r="L235" s="27"/>
      <c r="M235" s="93">
        <f t="shared" si="113"/>
        <v>0</v>
      </c>
      <c r="N235" s="93">
        <f t="shared" si="102"/>
        <v>0</v>
      </c>
      <c r="O235" s="70" t="e">
        <f t="shared" si="87"/>
        <v>#DIV/0!</v>
      </c>
      <c r="P235" s="71">
        <f t="shared" si="114"/>
        <v>0</v>
      </c>
      <c r="Q235" s="35">
        <f t="shared" si="115"/>
        <v>0</v>
      </c>
      <c r="R235" s="72">
        <v>1103783</v>
      </c>
      <c r="S235" s="72">
        <f t="shared" si="116"/>
        <v>63</v>
      </c>
      <c r="T235" s="62">
        <f t="shared" si="83"/>
        <v>63</v>
      </c>
    </row>
    <row r="236" spans="1:20" hidden="1">
      <c r="A236" s="100"/>
      <c r="B236" s="15"/>
      <c r="C236" s="57" t="s">
        <v>43</v>
      </c>
      <c r="D236" s="18"/>
      <c r="E236" s="115"/>
      <c r="F236" s="67" t="s">
        <v>44</v>
      </c>
      <c r="G236" s="59">
        <f t="shared" ref="G236:N237" si="117">G237</f>
        <v>0</v>
      </c>
      <c r="H236" s="59">
        <f t="shared" si="117"/>
        <v>0</v>
      </c>
      <c r="I236" s="59">
        <f t="shared" si="117"/>
        <v>0</v>
      </c>
      <c r="J236" s="33">
        <f t="shared" si="117"/>
        <v>0</v>
      </c>
      <c r="K236" s="35">
        <f>'1.08'!M236</f>
        <v>0</v>
      </c>
      <c r="L236" s="59">
        <f t="shared" si="117"/>
        <v>0</v>
      </c>
      <c r="M236" s="29">
        <f t="shared" si="117"/>
        <v>0</v>
      </c>
      <c r="N236" s="29">
        <f t="shared" si="117"/>
        <v>0</v>
      </c>
      <c r="O236" s="70"/>
      <c r="P236" s="71">
        <f t="shared" si="114"/>
        <v>0</v>
      </c>
      <c r="Q236" s="35">
        <f t="shared" si="115"/>
        <v>0</v>
      </c>
      <c r="R236" s="72">
        <v>1103784</v>
      </c>
      <c r="S236" s="72">
        <f t="shared" si="116"/>
        <v>0</v>
      </c>
    </row>
    <row r="237" spans="1:20" hidden="1">
      <c r="A237" s="9"/>
      <c r="B237" s="12"/>
      <c r="C237" s="12"/>
      <c r="D237" s="11" t="s">
        <v>7</v>
      </c>
      <c r="E237" s="97"/>
      <c r="F237" s="4" t="s">
        <v>22</v>
      </c>
      <c r="G237" s="98">
        <f t="shared" si="117"/>
        <v>0</v>
      </c>
      <c r="H237" s="98">
        <f t="shared" si="117"/>
        <v>0</v>
      </c>
      <c r="I237" s="98">
        <f t="shared" si="117"/>
        <v>0</v>
      </c>
      <c r="J237" s="99">
        <f>J238</f>
        <v>0</v>
      </c>
      <c r="K237" s="35">
        <f>'1.08'!M237</f>
        <v>0</v>
      </c>
      <c r="L237" s="98">
        <f t="shared" si="117"/>
        <v>0</v>
      </c>
      <c r="M237" s="32">
        <f t="shared" si="117"/>
        <v>0</v>
      </c>
      <c r="N237" s="32">
        <f t="shared" si="117"/>
        <v>0</v>
      </c>
      <c r="O237" s="68" t="e">
        <f>M237/I237*100</f>
        <v>#DIV/0!</v>
      </c>
      <c r="P237" s="71">
        <f t="shared" si="114"/>
        <v>0</v>
      </c>
      <c r="Q237" s="35">
        <f t="shared" si="115"/>
        <v>0</v>
      </c>
      <c r="R237" s="72">
        <v>1103785</v>
      </c>
      <c r="S237" s="72">
        <f t="shared" si="116"/>
        <v>0</v>
      </c>
      <c r="T237" s="62">
        <f>G237-J237</f>
        <v>0</v>
      </c>
    </row>
    <row r="238" spans="1:20" ht="25.5" hidden="1">
      <c r="A238" s="100"/>
      <c r="B238" s="15"/>
      <c r="C238" s="15"/>
      <c r="D238" s="16"/>
      <c r="E238" s="20">
        <v>414</v>
      </c>
      <c r="F238" s="86" t="s">
        <v>64</v>
      </c>
      <c r="G238" s="37"/>
      <c r="H238" s="37"/>
      <c r="I238" s="37"/>
      <c r="J238" s="75">
        <f>M238</f>
        <v>0</v>
      </c>
      <c r="K238" s="35">
        <f>'1.08'!M238</f>
        <v>0</v>
      </c>
      <c r="L238" s="35"/>
      <c r="M238" s="93">
        <f t="shared" ref="M238" si="118">K238+L238</f>
        <v>0</v>
      </c>
      <c r="N238" s="93">
        <f t="shared" ref="N238" si="119">I238-M238</f>
        <v>0</v>
      </c>
      <c r="O238" s="70" t="e">
        <f>M238/I238*100</f>
        <v>#DIV/0!</v>
      </c>
      <c r="P238" s="71">
        <f t="shared" si="114"/>
        <v>0</v>
      </c>
      <c r="Q238" s="35">
        <f t="shared" si="115"/>
        <v>0</v>
      </c>
      <c r="R238" s="72">
        <v>1103786</v>
      </c>
      <c r="S238" s="72">
        <f t="shared" si="116"/>
        <v>0</v>
      </c>
    </row>
    <row r="239" spans="1:20" s="73" customFormat="1" ht="38.25">
      <c r="A239" s="100"/>
      <c r="B239" s="17">
        <v>1267</v>
      </c>
      <c r="C239" s="8"/>
      <c r="D239" s="21"/>
      <c r="E239" s="21"/>
      <c r="F239" s="139" t="s">
        <v>126</v>
      </c>
      <c r="G239" s="42">
        <f>G240+G243+G263+G268+G288</f>
        <v>7586650</v>
      </c>
      <c r="H239" s="42">
        <f t="shared" ref="H239:N239" si="120">H240+H243+H263+H268+H288</f>
        <v>3314486.9</v>
      </c>
      <c r="I239" s="42">
        <f t="shared" si="120"/>
        <v>3238492.3</v>
      </c>
      <c r="J239" s="29">
        <f t="shared" si="120"/>
        <v>3271979.8113299999</v>
      </c>
      <c r="K239" s="29">
        <f>'1.02.'!M216</f>
        <v>60896.595510000006</v>
      </c>
      <c r="L239" s="29">
        <f t="shared" si="120"/>
        <v>467169.97889999999</v>
      </c>
      <c r="M239" s="29">
        <f t="shared" si="120"/>
        <v>3230269.6077200002</v>
      </c>
      <c r="N239" s="29">
        <f t="shared" si="120"/>
        <v>8222.6922799999684</v>
      </c>
      <c r="O239" s="68">
        <f t="shared" si="87"/>
        <v>99.746095049230178</v>
      </c>
      <c r="P239" s="35">
        <f t="shared" si="114"/>
        <v>41710.203609999735</v>
      </c>
      <c r="Q239" s="35">
        <f t="shared" si="115"/>
        <v>42507.088669999968</v>
      </c>
      <c r="R239" s="72">
        <v>1103787</v>
      </c>
      <c r="S239" s="72">
        <f t="shared" si="116"/>
        <v>4356380.3922799993</v>
      </c>
      <c r="T239" s="62">
        <f t="shared" si="83"/>
        <v>4314670.1886700001</v>
      </c>
    </row>
    <row r="240" spans="1:20" ht="25.5">
      <c r="A240" s="103"/>
      <c r="B240" s="8"/>
      <c r="C240" s="17" t="s">
        <v>28</v>
      </c>
      <c r="D240" s="21"/>
      <c r="E240" s="21"/>
      <c r="F240" s="125" t="s">
        <v>127</v>
      </c>
      <c r="G240" s="23">
        <f>G241</f>
        <v>19620</v>
      </c>
      <c r="H240" s="23">
        <f t="shared" ref="H240:O241" si="121">H241</f>
        <v>19620</v>
      </c>
      <c r="I240" s="23">
        <f t="shared" si="121"/>
        <v>1635</v>
      </c>
      <c r="J240" s="38">
        <f t="shared" si="121"/>
        <v>0</v>
      </c>
      <c r="K240" s="35">
        <f>'1.02.'!M217</f>
        <v>0</v>
      </c>
      <c r="L240" s="23">
        <f t="shared" si="121"/>
        <v>0</v>
      </c>
      <c r="M240" s="24">
        <f t="shared" si="121"/>
        <v>0</v>
      </c>
      <c r="N240" s="24">
        <f t="shared" si="121"/>
        <v>1635</v>
      </c>
      <c r="O240" s="39">
        <f t="shared" si="121"/>
        <v>0</v>
      </c>
      <c r="P240" s="71">
        <f t="shared" si="114"/>
        <v>0</v>
      </c>
      <c r="Q240" s="35">
        <f>H240-J240</f>
        <v>19620</v>
      </c>
      <c r="R240" s="72">
        <v>1103788</v>
      </c>
      <c r="S240" s="72">
        <f t="shared" si="116"/>
        <v>19620</v>
      </c>
    </row>
    <row r="241" spans="1:20">
      <c r="A241" s="100"/>
      <c r="B241" s="8"/>
      <c r="C241" s="8"/>
      <c r="D241" s="17" t="s">
        <v>7</v>
      </c>
      <c r="E241" s="10"/>
      <c r="F241" s="140" t="s">
        <v>85</v>
      </c>
      <c r="G241" s="59">
        <f>G242</f>
        <v>19620</v>
      </c>
      <c r="H241" s="59">
        <f t="shared" si="121"/>
        <v>19620</v>
      </c>
      <c r="I241" s="59">
        <f t="shared" si="121"/>
        <v>1635</v>
      </c>
      <c r="J241" s="59">
        <f t="shared" si="121"/>
        <v>0</v>
      </c>
      <c r="K241" s="35">
        <f>'1.02.'!M218</f>
        <v>0</v>
      </c>
      <c r="L241" s="59">
        <f t="shared" si="121"/>
        <v>0</v>
      </c>
      <c r="M241" s="29">
        <f t="shared" si="121"/>
        <v>0</v>
      </c>
      <c r="N241" s="29">
        <f t="shared" si="121"/>
        <v>1635</v>
      </c>
      <c r="O241" s="68">
        <f>M241/I241*100</f>
        <v>0</v>
      </c>
      <c r="P241" s="71">
        <f t="shared" si="114"/>
        <v>0</v>
      </c>
      <c r="Q241" s="35">
        <f t="shared" si="115"/>
        <v>19620</v>
      </c>
      <c r="R241" s="72">
        <v>1103789</v>
      </c>
      <c r="S241" s="72">
        <f t="shared" si="116"/>
        <v>19620</v>
      </c>
    </row>
    <row r="242" spans="1:20">
      <c r="A242" s="100"/>
      <c r="B242" s="9"/>
      <c r="C242" s="9"/>
      <c r="D242" s="69"/>
      <c r="E242" s="69">
        <v>159</v>
      </c>
      <c r="F242" s="136" t="s">
        <v>84</v>
      </c>
      <c r="G242" s="26">
        <v>19620</v>
      </c>
      <c r="H242" s="26">
        <v>19620</v>
      </c>
      <c r="I242" s="26">
        <v>1635</v>
      </c>
      <c r="J242" s="105">
        <f>M242</f>
        <v>0</v>
      </c>
      <c r="K242" s="35">
        <f>'1.02.'!M219</f>
        <v>0</v>
      </c>
      <c r="L242" s="27"/>
      <c r="M242" s="93">
        <f>K242+L242</f>
        <v>0</v>
      </c>
      <c r="N242" s="93">
        <f>I242-M242</f>
        <v>1635</v>
      </c>
      <c r="O242" s="70">
        <f>M242/I242*100</f>
        <v>0</v>
      </c>
      <c r="P242" s="71">
        <f t="shared" si="114"/>
        <v>0</v>
      </c>
      <c r="Q242" s="35">
        <f t="shared" si="115"/>
        <v>19620</v>
      </c>
      <c r="R242" s="72">
        <v>1103790</v>
      </c>
      <c r="S242" s="72">
        <f t="shared" si="116"/>
        <v>19620</v>
      </c>
    </row>
    <row r="243" spans="1:20" s="95" customFormat="1" ht="38.25">
      <c r="A243" s="100"/>
      <c r="B243" s="8"/>
      <c r="C243" s="17" t="s">
        <v>29</v>
      </c>
      <c r="D243" s="21"/>
      <c r="E243" s="21"/>
      <c r="F243" s="139" t="s">
        <v>128</v>
      </c>
      <c r="G243" s="59">
        <f>G244</f>
        <v>1100082</v>
      </c>
      <c r="H243" s="59">
        <f t="shared" ref="H243:N243" si="122">H244</f>
        <v>681811.1</v>
      </c>
      <c r="I243" s="59">
        <f t="shared" si="122"/>
        <v>647039.69999999995</v>
      </c>
      <c r="J243" s="29">
        <f t="shared" si="122"/>
        <v>675575.84890000022</v>
      </c>
      <c r="K243" s="59">
        <f t="shared" si="122"/>
        <v>584356.9962099999</v>
      </c>
      <c r="L243" s="29">
        <f t="shared" si="122"/>
        <v>62628.778959999996</v>
      </c>
      <c r="M243" s="29">
        <f t="shared" si="122"/>
        <v>646985.77517000004</v>
      </c>
      <c r="N243" s="29">
        <f t="shared" si="122"/>
        <v>53.924829999916255</v>
      </c>
      <c r="O243" s="68">
        <f>M243/I243*100</f>
        <v>99.991665916326326</v>
      </c>
      <c r="P243" s="71">
        <f t="shared" si="114"/>
        <v>28590.073730000178</v>
      </c>
      <c r="Q243" s="35">
        <f t="shared" si="115"/>
        <v>6235.2510999997612</v>
      </c>
      <c r="R243" s="72">
        <v>1103791</v>
      </c>
      <c r="S243" s="72">
        <f t="shared" si="116"/>
        <v>453096.22482999996</v>
      </c>
      <c r="T243" s="62">
        <f t="shared" si="83"/>
        <v>424506.15109999978</v>
      </c>
    </row>
    <row r="244" spans="1:20">
      <c r="A244" s="100"/>
      <c r="B244" s="8"/>
      <c r="C244" s="8"/>
      <c r="D244" s="17" t="s">
        <v>7</v>
      </c>
      <c r="E244" s="10"/>
      <c r="F244" s="67" t="s">
        <v>26</v>
      </c>
      <c r="G244" s="59">
        <f>SUM(G245:G262)</f>
        <v>1100082</v>
      </c>
      <c r="H244" s="59">
        <f>SUM(H245:H262)</f>
        <v>681811.1</v>
      </c>
      <c r="I244" s="59">
        <f t="shared" ref="I244:M244" si="123">SUM(I245:I262)</f>
        <v>647039.69999999995</v>
      </c>
      <c r="J244" s="29">
        <f t="shared" si="123"/>
        <v>675575.84890000022</v>
      </c>
      <c r="K244" s="59">
        <f t="shared" si="123"/>
        <v>584356.9962099999</v>
      </c>
      <c r="L244" s="29">
        <f t="shared" si="123"/>
        <v>62628.778959999996</v>
      </c>
      <c r="M244" s="29">
        <f t="shared" si="123"/>
        <v>646985.77517000004</v>
      </c>
      <c r="N244" s="102">
        <f>I244-M244</f>
        <v>53.924829999916255</v>
      </c>
      <c r="O244" s="68">
        <f>M244/I244*100</f>
        <v>99.991665916326326</v>
      </c>
      <c r="P244" s="71">
        <f t="shared" si="114"/>
        <v>28590.073730000178</v>
      </c>
      <c r="Q244" s="35">
        <f t="shared" si="115"/>
        <v>6235.2510999997612</v>
      </c>
      <c r="R244" s="72">
        <v>1103792</v>
      </c>
      <c r="S244" s="72">
        <f t="shared" si="116"/>
        <v>453096.22482999996</v>
      </c>
      <c r="T244" s="62">
        <f t="shared" ref="T244:T262" si="124">G244-J244</f>
        <v>424506.15109999978</v>
      </c>
    </row>
    <row r="245" spans="1:20">
      <c r="A245" s="100"/>
      <c r="B245" s="9"/>
      <c r="C245" s="9"/>
      <c r="D245" s="69"/>
      <c r="E245" s="69">
        <v>111</v>
      </c>
      <c r="F245" s="136" t="s">
        <v>86</v>
      </c>
      <c r="G245" s="26">
        <f>686021+106628-28698</f>
        <v>763951</v>
      </c>
      <c r="H245" s="26">
        <v>450302</v>
      </c>
      <c r="I245" s="26">
        <v>450302</v>
      </c>
      <c r="J245" s="105">
        <f>M245</f>
        <v>450302</v>
      </c>
      <c r="K245" s="35">
        <f>'1.08'!M245</f>
        <v>414802</v>
      </c>
      <c r="L245" s="27">
        <v>35500</v>
      </c>
      <c r="M245" s="93">
        <f t="shared" ref="M245:M273" si="125">K245+L245</f>
        <v>450302</v>
      </c>
      <c r="N245" s="93">
        <f>I245-M245</f>
        <v>0</v>
      </c>
      <c r="O245" s="70">
        <f t="shared" ref="O245:O262" si="126">M245/I245*100</f>
        <v>100</v>
      </c>
      <c r="P245" s="71">
        <f t="shared" si="114"/>
        <v>0</v>
      </c>
      <c r="Q245" s="35">
        <f t="shared" si="115"/>
        <v>0</v>
      </c>
      <c r="R245" s="72">
        <v>1103793</v>
      </c>
      <c r="S245" s="72">
        <f t="shared" si="116"/>
        <v>313649</v>
      </c>
      <c r="T245" s="62">
        <f t="shared" si="124"/>
        <v>313649</v>
      </c>
    </row>
    <row r="246" spans="1:20">
      <c r="A246" s="100"/>
      <c r="B246" s="9"/>
      <c r="C246" s="9"/>
      <c r="D246" s="69"/>
      <c r="E246" s="69">
        <v>112</v>
      </c>
      <c r="F246" s="136" t="s">
        <v>87</v>
      </c>
      <c r="G246" s="26">
        <f>5500+30098</f>
        <v>35598</v>
      </c>
      <c r="H246" s="26">
        <v>35598</v>
      </c>
      <c r="I246" s="26">
        <v>35598</v>
      </c>
      <c r="J246" s="105">
        <f t="shared" ref="J246:J252" si="127">M246</f>
        <v>35598</v>
      </c>
      <c r="K246" s="35">
        <f>'1.08'!M246</f>
        <v>35598</v>
      </c>
      <c r="L246" s="27"/>
      <c r="M246" s="93">
        <f t="shared" si="125"/>
        <v>35598</v>
      </c>
      <c r="N246" s="93">
        <f t="shared" ref="N246:N262" si="128">I246-M246</f>
        <v>0</v>
      </c>
      <c r="O246" s="70">
        <f t="shared" si="126"/>
        <v>100</v>
      </c>
      <c r="P246" s="71">
        <f t="shared" si="114"/>
        <v>0</v>
      </c>
      <c r="Q246" s="35">
        <f t="shared" si="115"/>
        <v>0</v>
      </c>
      <c r="R246" s="72">
        <v>1103794</v>
      </c>
      <c r="S246" s="72">
        <f t="shared" si="116"/>
        <v>0</v>
      </c>
    </row>
    <row r="247" spans="1:20">
      <c r="A247" s="100"/>
      <c r="B247" s="9"/>
      <c r="C247" s="9"/>
      <c r="D247" s="69"/>
      <c r="E247" s="76">
        <v>113</v>
      </c>
      <c r="F247" s="136" t="s">
        <v>88</v>
      </c>
      <c r="G247" s="26">
        <v>32776</v>
      </c>
      <c r="H247" s="26">
        <v>22643.4</v>
      </c>
      <c r="I247" s="26">
        <v>22643.4</v>
      </c>
      <c r="J247" s="105">
        <f t="shared" si="127"/>
        <v>22643.319</v>
      </c>
      <c r="K247" s="35">
        <f>'1.08'!M247</f>
        <v>15775.6</v>
      </c>
      <c r="L247" s="27">
        <v>6867.7190000000001</v>
      </c>
      <c r="M247" s="93">
        <f t="shared" si="125"/>
        <v>22643.319</v>
      </c>
      <c r="N247" s="93">
        <f t="shared" si="128"/>
        <v>8.1000000001949957E-2</v>
      </c>
      <c r="O247" s="70">
        <f t="shared" si="126"/>
        <v>99.999642279869633</v>
      </c>
      <c r="P247" s="71">
        <f t="shared" si="114"/>
        <v>0</v>
      </c>
      <c r="Q247" s="35">
        <f t="shared" si="115"/>
        <v>8.1000000001949957E-2</v>
      </c>
      <c r="R247" s="72">
        <v>1103795</v>
      </c>
      <c r="S247" s="72">
        <f t="shared" si="116"/>
        <v>10132.681</v>
      </c>
      <c r="T247" s="62">
        <f t="shared" si="124"/>
        <v>10132.681</v>
      </c>
    </row>
    <row r="248" spans="1:20">
      <c r="A248" s="100"/>
      <c r="B248" s="9"/>
      <c r="C248" s="9"/>
      <c r="D248" s="69"/>
      <c r="E248" s="69">
        <v>116</v>
      </c>
      <c r="F248" s="136" t="s">
        <v>89</v>
      </c>
      <c r="G248" s="26">
        <f>24011+3925-700</f>
        <v>27236</v>
      </c>
      <c r="H248" s="26">
        <v>14857</v>
      </c>
      <c r="I248" s="26">
        <v>14857</v>
      </c>
      <c r="J248" s="105">
        <f>M248</f>
        <v>14857</v>
      </c>
      <c r="K248" s="35">
        <f>'1.08'!M248</f>
        <v>12041.701999999999</v>
      </c>
      <c r="L248" s="27">
        <v>2815.2979999999998</v>
      </c>
      <c r="M248" s="93">
        <f>K248+L248</f>
        <v>14857</v>
      </c>
      <c r="N248" s="93">
        <f t="shared" si="128"/>
        <v>0</v>
      </c>
      <c r="O248" s="70">
        <f>M248/I248*100</f>
        <v>100</v>
      </c>
      <c r="P248" s="71">
        <f t="shared" si="114"/>
        <v>0</v>
      </c>
      <c r="Q248" s="35">
        <f t="shared" si="115"/>
        <v>0</v>
      </c>
      <c r="R248" s="72">
        <v>1103796</v>
      </c>
      <c r="S248" s="72">
        <f t="shared" si="116"/>
        <v>12379</v>
      </c>
    </row>
    <row r="249" spans="1:20">
      <c r="A249" s="100"/>
      <c r="B249" s="9"/>
      <c r="C249" s="9"/>
      <c r="D249" s="69"/>
      <c r="E249" s="69">
        <v>121</v>
      </c>
      <c r="F249" s="136" t="s">
        <v>90</v>
      </c>
      <c r="G249" s="26">
        <f>35536+5920</f>
        <v>41456</v>
      </c>
      <c r="H249" s="26">
        <v>24357</v>
      </c>
      <c r="I249" s="26">
        <v>24357</v>
      </c>
      <c r="J249" s="105">
        <f t="shared" si="127"/>
        <v>24357</v>
      </c>
      <c r="K249" s="35">
        <f>'1.08'!M249</f>
        <v>21318</v>
      </c>
      <c r="L249" s="27">
        <v>3039</v>
      </c>
      <c r="M249" s="93">
        <f>K249+L249</f>
        <v>24357</v>
      </c>
      <c r="N249" s="93">
        <f t="shared" si="128"/>
        <v>0</v>
      </c>
      <c r="O249" s="70">
        <f>M249/I249*100</f>
        <v>100</v>
      </c>
      <c r="P249" s="71">
        <f t="shared" si="114"/>
        <v>0</v>
      </c>
      <c r="Q249" s="35">
        <f t="shared" si="115"/>
        <v>0</v>
      </c>
      <c r="R249" s="72">
        <v>1103797</v>
      </c>
      <c r="S249" s="72">
        <f t="shared" si="116"/>
        <v>17099</v>
      </c>
      <c r="T249" s="62">
        <f t="shared" si="124"/>
        <v>17099</v>
      </c>
    </row>
    <row r="250" spans="1:20">
      <c r="A250" s="100"/>
      <c r="B250" s="9"/>
      <c r="C250" s="9"/>
      <c r="D250" s="69"/>
      <c r="E250" s="69">
        <v>122</v>
      </c>
      <c r="F250" s="136" t="s">
        <v>91</v>
      </c>
      <c r="G250" s="26">
        <f>30871+5046</f>
        <v>35917</v>
      </c>
      <c r="H250" s="26">
        <v>22427</v>
      </c>
      <c r="I250" s="26">
        <v>22427</v>
      </c>
      <c r="J250" s="105">
        <f t="shared" si="127"/>
        <v>22422.3</v>
      </c>
      <c r="K250" s="35">
        <f>'1.08'!M250</f>
        <v>17701.674999999999</v>
      </c>
      <c r="L250" s="27">
        <v>4720.625</v>
      </c>
      <c r="M250" s="93">
        <f t="shared" si="125"/>
        <v>22422.3</v>
      </c>
      <c r="N250" s="93">
        <f t="shared" si="128"/>
        <v>4.7000000000007276</v>
      </c>
      <c r="O250" s="70">
        <f t="shared" si="126"/>
        <v>99.979043117670656</v>
      </c>
      <c r="P250" s="71">
        <f t="shared" si="114"/>
        <v>0</v>
      </c>
      <c r="Q250" s="35">
        <f t="shared" si="115"/>
        <v>4.7000000000007276</v>
      </c>
      <c r="R250" s="72">
        <v>1103798</v>
      </c>
      <c r="S250" s="72">
        <f t="shared" si="116"/>
        <v>13494.7</v>
      </c>
      <c r="T250" s="62">
        <f t="shared" si="124"/>
        <v>13494.7</v>
      </c>
    </row>
    <row r="251" spans="1:20">
      <c r="A251" s="100"/>
      <c r="B251" s="9"/>
      <c r="C251" s="9"/>
      <c r="D251" s="69"/>
      <c r="E251" s="69">
        <v>123</v>
      </c>
      <c r="F251" s="136" t="s">
        <v>92</v>
      </c>
      <c r="G251" s="26">
        <v>342</v>
      </c>
      <c r="H251" s="26">
        <v>35</v>
      </c>
      <c r="I251" s="26">
        <v>35</v>
      </c>
      <c r="J251" s="105">
        <f t="shared" si="127"/>
        <v>29.271999999999998</v>
      </c>
      <c r="K251" s="35">
        <f>'1.08'!M251</f>
        <v>29.271999999999998</v>
      </c>
      <c r="L251" s="27"/>
      <c r="M251" s="93">
        <f t="shared" si="125"/>
        <v>29.271999999999998</v>
      </c>
      <c r="N251" s="93">
        <f t="shared" si="128"/>
        <v>5.7280000000000015</v>
      </c>
      <c r="O251" s="70">
        <f t="shared" si="126"/>
        <v>83.63428571428571</v>
      </c>
      <c r="P251" s="71">
        <f t="shared" si="114"/>
        <v>0</v>
      </c>
      <c r="Q251" s="35">
        <f t="shared" si="115"/>
        <v>5.7280000000000015</v>
      </c>
      <c r="R251" s="72">
        <v>1103799</v>
      </c>
      <c r="S251" s="72">
        <f t="shared" si="116"/>
        <v>312.72800000000001</v>
      </c>
    </row>
    <row r="252" spans="1:20">
      <c r="A252" s="100"/>
      <c r="B252" s="9"/>
      <c r="C252" s="9"/>
      <c r="D252" s="69"/>
      <c r="E252" s="69">
        <v>124</v>
      </c>
      <c r="F252" s="136" t="s">
        <v>93</v>
      </c>
      <c r="G252" s="26">
        <f>20581+3364-700</f>
        <v>23245</v>
      </c>
      <c r="H252" s="26">
        <v>13680</v>
      </c>
      <c r="I252" s="26">
        <v>13680</v>
      </c>
      <c r="J252" s="105">
        <f t="shared" si="127"/>
        <v>13680</v>
      </c>
      <c r="K252" s="35">
        <f>'1.08'!M252</f>
        <v>10665.455</v>
      </c>
      <c r="L252" s="27">
        <v>3014.5450000000001</v>
      </c>
      <c r="M252" s="93">
        <f t="shared" si="125"/>
        <v>13680</v>
      </c>
      <c r="N252" s="93">
        <f t="shared" si="128"/>
        <v>0</v>
      </c>
      <c r="O252" s="70">
        <f t="shared" si="126"/>
        <v>100</v>
      </c>
      <c r="P252" s="71">
        <f t="shared" si="114"/>
        <v>0</v>
      </c>
      <c r="Q252" s="35">
        <f t="shared" si="115"/>
        <v>0</v>
      </c>
      <c r="R252" s="72">
        <v>1103800</v>
      </c>
      <c r="S252" s="72">
        <f t="shared" si="116"/>
        <v>9565</v>
      </c>
      <c r="T252" s="62">
        <f t="shared" si="124"/>
        <v>9565</v>
      </c>
    </row>
    <row r="253" spans="1:20">
      <c r="A253" s="100"/>
      <c r="B253" s="9"/>
      <c r="C253" s="9"/>
      <c r="D253" s="69"/>
      <c r="E253" s="69">
        <v>144</v>
      </c>
      <c r="F253" s="136" t="s">
        <v>97</v>
      </c>
      <c r="G253" s="26">
        <f>9873-951.9</f>
        <v>8921.1</v>
      </c>
      <c r="H253" s="26">
        <v>8921.1</v>
      </c>
      <c r="I253" s="26">
        <v>7888.2</v>
      </c>
      <c r="J253" s="105">
        <v>8921.0878400000001</v>
      </c>
      <c r="K253" s="35">
        <f>'1.08'!M253</f>
        <v>7888.0278399999997</v>
      </c>
      <c r="L253" s="27"/>
      <c r="M253" s="93">
        <f t="shared" si="125"/>
        <v>7888.0278399999997</v>
      </c>
      <c r="N253" s="93">
        <f t="shared" si="128"/>
        <v>0.17216000000007625</v>
      </c>
      <c r="O253" s="70">
        <f t="shared" si="126"/>
        <v>99.997817499556291</v>
      </c>
      <c r="P253" s="71">
        <f t="shared" si="114"/>
        <v>1033.0600000000004</v>
      </c>
      <c r="Q253" s="35">
        <f t="shared" si="115"/>
        <v>1.2160000000221771E-2</v>
      </c>
      <c r="R253" s="72">
        <v>1103801</v>
      </c>
      <c r="S253" s="72">
        <f t="shared" si="116"/>
        <v>1033.0721600000006</v>
      </c>
      <c r="T253" s="62">
        <f t="shared" si="124"/>
        <v>1.2160000000221771E-2</v>
      </c>
    </row>
    <row r="254" spans="1:20">
      <c r="A254" s="100"/>
      <c r="B254" s="9"/>
      <c r="C254" s="9"/>
      <c r="D254" s="69"/>
      <c r="E254" s="69">
        <v>149</v>
      </c>
      <c r="F254" s="136" t="s">
        <v>98</v>
      </c>
      <c r="G254" s="26">
        <f>21813-15179</f>
        <v>6634</v>
      </c>
      <c r="H254" s="26">
        <v>4135.1000000000004</v>
      </c>
      <c r="I254" s="26">
        <v>4135.1000000000004</v>
      </c>
      <c r="J254" s="105">
        <f>M254</f>
        <v>4135.0153100000007</v>
      </c>
      <c r="K254" s="35">
        <f>'1.08'!M254</f>
        <v>3609.1419100000003</v>
      </c>
      <c r="L254" s="27">
        <v>525.87339999999995</v>
      </c>
      <c r="M254" s="93">
        <f t="shared" si="125"/>
        <v>4135.0153100000007</v>
      </c>
      <c r="N254" s="93">
        <f t="shared" si="128"/>
        <v>8.4689999999682186E-2</v>
      </c>
      <c r="O254" s="70">
        <f t="shared" si="126"/>
        <v>99.997951923774522</v>
      </c>
      <c r="P254" s="71">
        <f t="shared" si="114"/>
        <v>0</v>
      </c>
      <c r="Q254" s="35">
        <f t="shared" si="115"/>
        <v>8.4689999999682186E-2</v>
      </c>
      <c r="R254" s="72">
        <v>1103802</v>
      </c>
      <c r="S254" s="72">
        <f t="shared" si="116"/>
        <v>2498.9846899999993</v>
      </c>
      <c r="T254" s="62">
        <f t="shared" si="124"/>
        <v>2498.9846899999993</v>
      </c>
    </row>
    <row r="255" spans="1:20">
      <c r="A255" s="100"/>
      <c r="B255" s="9"/>
      <c r="C255" s="9"/>
      <c r="D255" s="69"/>
      <c r="E255" s="69">
        <v>151</v>
      </c>
      <c r="F255" s="136" t="s">
        <v>99</v>
      </c>
      <c r="G255" s="26">
        <f>10168+10000+12000</f>
        <v>32168</v>
      </c>
      <c r="H255" s="26">
        <v>7681.3</v>
      </c>
      <c r="I255" s="26">
        <v>7681.3</v>
      </c>
      <c r="J255" s="105">
        <f>M255</f>
        <v>7681.3</v>
      </c>
      <c r="K255" s="35">
        <f>'1.08'!M255</f>
        <v>6981.2649700000002</v>
      </c>
      <c r="L255" s="27">
        <v>700.03503000000001</v>
      </c>
      <c r="M255" s="93">
        <f t="shared" si="125"/>
        <v>7681.3</v>
      </c>
      <c r="N255" s="93">
        <f t="shared" si="128"/>
        <v>0</v>
      </c>
      <c r="O255" s="70">
        <f t="shared" si="126"/>
        <v>100</v>
      </c>
      <c r="P255" s="71">
        <f t="shared" si="114"/>
        <v>0</v>
      </c>
      <c r="Q255" s="35">
        <f t="shared" si="115"/>
        <v>0</v>
      </c>
      <c r="R255" s="72">
        <v>1103803</v>
      </c>
      <c r="S255" s="72">
        <f t="shared" si="116"/>
        <v>24486.7</v>
      </c>
      <c r="T255" s="62">
        <f t="shared" si="124"/>
        <v>24486.7</v>
      </c>
    </row>
    <row r="256" spans="1:20">
      <c r="A256" s="100"/>
      <c r="B256" s="9"/>
      <c r="C256" s="9"/>
      <c r="D256" s="69"/>
      <c r="E256" s="69">
        <v>152</v>
      </c>
      <c r="F256" s="136" t="s">
        <v>100</v>
      </c>
      <c r="G256" s="26">
        <f>34000-419.4</f>
        <v>33580.6</v>
      </c>
      <c r="H256" s="26">
        <v>31008.9</v>
      </c>
      <c r="I256" s="26">
        <v>18206.099999999999</v>
      </c>
      <c r="J256" s="105">
        <v>31008.889520000001</v>
      </c>
      <c r="K256" s="35">
        <f>'1.08'!M256</f>
        <v>15729.091649999998</v>
      </c>
      <c r="L256" s="27">
        <v>2474.88373</v>
      </c>
      <c r="M256" s="93">
        <f t="shared" si="125"/>
        <v>18203.97538</v>
      </c>
      <c r="N256" s="93">
        <f t="shared" si="128"/>
        <v>2.1246199999986857</v>
      </c>
      <c r="O256" s="70">
        <f t="shared" si="126"/>
        <v>99.988330175051217</v>
      </c>
      <c r="P256" s="71">
        <f t="shared" si="114"/>
        <v>12804.914140000001</v>
      </c>
      <c r="Q256" s="35">
        <f t="shared" si="115"/>
        <v>1.0480000000825385E-2</v>
      </c>
      <c r="R256" s="72">
        <v>1103804</v>
      </c>
      <c r="S256" s="72">
        <f t="shared" si="116"/>
        <v>15376.624619999999</v>
      </c>
      <c r="T256" s="62">
        <f t="shared" si="124"/>
        <v>2571.7104799999979</v>
      </c>
    </row>
    <row r="257" spans="1:20">
      <c r="A257" s="100"/>
      <c r="B257" s="9"/>
      <c r="C257" s="9"/>
      <c r="D257" s="69"/>
      <c r="E257" s="69">
        <v>158</v>
      </c>
      <c r="F257" s="136" t="s">
        <v>101</v>
      </c>
      <c r="G257" s="26">
        <f>3657+330.7</f>
        <v>3987.7</v>
      </c>
      <c r="H257" s="26">
        <v>3987.7</v>
      </c>
      <c r="I257" s="26">
        <v>2328.1</v>
      </c>
      <c r="J257" s="105">
        <v>3987.6156000000001</v>
      </c>
      <c r="K257" s="35">
        <f>'1.08'!M257</f>
        <v>1993.8078</v>
      </c>
      <c r="L257" s="27">
        <v>334.29199999999997</v>
      </c>
      <c r="M257" s="93">
        <f t="shared" si="125"/>
        <v>2328.0998</v>
      </c>
      <c r="N257" s="93">
        <f t="shared" si="128"/>
        <v>1.9999999994979589E-4</v>
      </c>
      <c r="O257" s="70">
        <f t="shared" si="126"/>
        <v>99.999991409303718</v>
      </c>
      <c r="P257" s="71">
        <f t="shared" si="114"/>
        <v>1659.5158000000001</v>
      </c>
      <c r="Q257" s="35">
        <f t="shared" si="115"/>
        <v>8.4399999999732245E-2</v>
      </c>
      <c r="R257" s="72">
        <v>1103805</v>
      </c>
      <c r="S257" s="72">
        <f t="shared" si="116"/>
        <v>1659.6001999999999</v>
      </c>
      <c r="T257" s="62">
        <f t="shared" si="124"/>
        <v>8.4399999999732245E-2</v>
      </c>
    </row>
    <row r="258" spans="1:20">
      <c r="A258" s="100"/>
      <c r="B258" s="9"/>
      <c r="C258" s="9"/>
      <c r="D258" s="69"/>
      <c r="E258" s="69">
        <v>159</v>
      </c>
      <c r="F258" s="136" t="s">
        <v>84</v>
      </c>
      <c r="G258" s="26">
        <f>28010+419.4+899.9+3321.3+10000</f>
        <v>42650.600000000006</v>
      </c>
      <c r="H258" s="26">
        <v>33998.6</v>
      </c>
      <c r="I258" s="26">
        <v>14722.5</v>
      </c>
      <c r="J258" s="105">
        <v>27815.083630000001</v>
      </c>
      <c r="K258" s="35">
        <f>'1.08'!M258</f>
        <v>12594.992040000001</v>
      </c>
      <c r="L258" s="27">
        <v>2127.5077999999999</v>
      </c>
      <c r="M258" s="93">
        <f t="shared" si="125"/>
        <v>14722.49984</v>
      </c>
      <c r="N258" s="93">
        <f t="shared" si="128"/>
        <v>1.5999999959603883E-4</v>
      </c>
      <c r="O258" s="70">
        <f t="shared" si="126"/>
        <v>99.999998913228055</v>
      </c>
      <c r="P258" s="71">
        <f t="shared" si="114"/>
        <v>13092.583790000001</v>
      </c>
      <c r="Q258" s="35">
        <f t="shared" si="115"/>
        <v>6183.5163699999976</v>
      </c>
      <c r="R258" s="72">
        <v>1103806</v>
      </c>
      <c r="S258" s="72">
        <f t="shared" si="116"/>
        <v>27928.100160000005</v>
      </c>
      <c r="T258" s="62">
        <f t="shared" si="124"/>
        <v>14835.516370000005</v>
      </c>
    </row>
    <row r="259" spans="1:20">
      <c r="A259" s="100"/>
      <c r="B259" s="9"/>
      <c r="C259" s="9"/>
      <c r="D259" s="69"/>
      <c r="E259" s="69">
        <v>161</v>
      </c>
      <c r="F259" s="136" t="s">
        <v>102</v>
      </c>
      <c r="G259" s="26">
        <f>9868+50+1527</f>
        <v>11445</v>
      </c>
      <c r="H259" s="26">
        <v>8077</v>
      </c>
      <c r="I259" s="26">
        <v>8077</v>
      </c>
      <c r="J259" s="105">
        <f t="shared" ref="J259:J262" si="129">M259</f>
        <v>8077</v>
      </c>
      <c r="K259" s="35">
        <f>'1.08'!M259</f>
        <v>7577</v>
      </c>
      <c r="L259" s="27">
        <v>500</v>
      </c>
      <c r="M259" s="93">
        <f t="shared" si="125"/>
        <v>8077</v>
      </c>
      <c r="N259" s="93">
        <f t="shared" si="128"/>
        <v>0</v>
      </c>
      <c r="O259" s="70">
        <f t="shared" si="126"/>
        <v>100</v>
      </c>
      <c r="P259" s="71">
        <f t="shared" si="114"/>
        <v>0</v>
      </c>
      <c r="Q259" s="35">
        <f t="shared" si="115"/>
        <v>0</v>
      </c>
      <c r="R259" s="72">
        <v>1103807</v>
      </c>
      <c r="S259" s="72">
        <f t="shared" si="116"/>
        <v>3368</v>
      </c>
      <c r="T259" s="62">
        <f t="shared" si="124"/>
        <v>3368</v>
      </c>
    </row>
    <row r="260" spans="1:20">
      <c r="A260" s="100"/>
      <c r="B260" s="9"/>
      <c r="C260" s="9"/>
      <c r="D260" s="69"/>
      <c r="E260" s="69">
        <v>165</v>
      </c>
      <c r="F260" s="3" t="s">
        <v>168</v>
      </c>
      <c r="G260" s="26">
        <v>50</v>
      </c>
      <c r="H260" s="26">
        <v>50</v>
      </c>
      <c r="I260" s="26">
        <v>50</v>
      </c>
      <c r="J260" s="105">
        <f t="shared" si="129"/>
        <v>50</v>
      </c>
      <c r="K260" s="35">
        <f>'1.08'!M260</f>
        <v>50</v>
      </c>
      <c r="L260" s="27"/>
      <c r="M260" s="93">
        <f t="shared" si="125"/>
        <v>50</v>
      </c>
      <c r="N260" s="93">
        <f t="shared" si="128"/>
        <v>0</v>
      </c>
      <c r="O260" s="70">
        <f t="shared" si="126"/>
        <v>100</v>
      </c>
      <c r="P260" s="71">
        <f t="shared" si="114"/>
        <v>0</v>
      </c>
      <c r="Q260" s="35">
        <f t="shared" si="115"/>
        <v>0</v>
      </c>
      <c r="R260" s="72">
        <v>1103808</v>
      </c>
      <c r="S260" s="72">
        <f t="shared" si="116"/>
        <v>0</v>
      </c>
    </row>
    <row r="261" spans="1:20">
      <c r="A261" s="100"/>
      <c r="B261" s="9"/>
      <c r="C261" s="9"/>
      <c r="D261" s="69"/>
      <c r="E261" s="69">
        <v>168</v>
      </c>
      <c r="F261" s="136" t="s">
        <v>167</v>
      </c>
      <c r="G261" s="26">
        <f>102+2</f>
        <v>104</v>
      </c>
      <c r="H261" s="26">
        <v>32</v>
      </c>
      <c r="I261" s="26">
        <v>32</v>
      </c>
      <c r="J261" s="105">
        <f t="shared" si="129"/>
        <v>1.966</v>
      </c>
      <c r="K261" s="35">
        <f>'1.08'!M261</f>
        <v>1.966</v>
      </c>
      <c r="L261" s="27"/>
      <c r="M261" s="93">
        <f t="shared" si="125"/>
        <v>1.966</v>
      </c>
      <c r="N261" s="93">
        <f t="shared" si="128"/>
        <v>30.033999999999999</v>
      </c>
      <c r="O261" s="70">
        <f t="shared" si="126"/>
        <v>6.1437499999999998</v>
      </c>
      <c r="P261" s="71">
        <f t="shared" si="114"/>
        <v>0</v>
      </c>
      <c r="Q261" s="35">
        <f t="shared" si="115"/>
        <v>30.033999999999999</v>
      </c>
      <c r="R261" s="72">
        <v>1103809</v>
      </c>
      <c r="S261" s="72">
        <f t="shared" si="116"/>
        <v>102.03400000000001</v>
      </c>
    </row>
    <row r="262" spans="1:20">
      <c r="A262" s="100"/>
      <c r="B262" s="9"/>
      <c r="C262" s="9"/>
      <c r="D262" s="69"/>
      <c r="E262" s="69">
        <v>169</v>
      </c>
      <c r="F262" s="136" t="s">
        <v>103</v>
      </c>
      <c r="G262" s="26">
        <f>172-102-50</f>
        <v>20</v>
      </c>
      <c r="H262" s="26">
        <v>20</v>
      </c>
      <c r="I262" s="26">
        <v>20</v>
      </c>
      <c r="J262" s="105">
        <f t="shared" si="129"/>
        <v>9</v>
      </c>
      <c r="K262" s="35">
        <f>'1.08'!M262</f>
        <v>0</v>
      </c>
      <c r="L262" s="27">
        <v>9</v>
      </c>
      <c r="M262" s="93">
        <f>K262+L262</f>
        <v>9</v>
      </c>
      <c r="N262" s="93">
        <f t="shared" si="128"/>
        <v>11</v>
      </c>
      <c r="O262" s="70">
        <f t="shared" si="126"/>
        <v>45</v>
      </c>
      <c r="P262" s="71">
        <f t="shared" si="114"/>
        <v>0</v>
      </c>
      <c r="Q262" s="35">
        <f t="shared" si="115"/>
        <v>11</v>
      </c>
      <c r="R262" s="72">
        <v>1103808</v>
      </c>
      <c r="S262" s="72">
        <f t="shared" si="116"/>
        <v>11</v>
      </c>
      <c r="T262" s="62">
        <f t="shared" si="124"/>
        <v>11</v>
      </c>
    </row>
    <row r="263" spans="1:20" ht="25.5">
      <c r="A263" s="100"/>
      <c r="B263" s="15"/>
      <c r="C263" s="57" t="s">
        <v>43</v>
      </c>
      <c r="D263" s="16"/>
      <c r="E263" s="20"/>
      <c r="F263" s="139" t="s">
        <v>119</v>
      </c>
      <c r="G263" s="59">
        <f t="shared" ref="G263:N263" si="130">G264</f>
        <v>23430</v>
      </c>
      <c r="H263" s="59">
        <f t="shared" si="130"/>
        <v>23142.799999999999</v>
      </c>
      <c r="I263" s="59">
        <f t="shared" si="130"/>
        <v>8089.6</v>
      </c>
      <c r="J263" s="29">
        <f t="shared" si="130"/>
        <v>17041.567940000001</v>
      </c>
      <c r="K263" s="35">
        <f>'1.02.'!M238</f>
        <v>0</v>
      </c>
      <c r="L263" s="29">
        <f t="shared" si="130"/>
        <v>7572.5200100000002</v>
      </c>
      <c r="M263" s="29">
        <f t="shared" si="130"/>
        <v>8089.55501</v>
      </c>
      <c r="N263" s="29">
        <f t="shared" si="130"/>
        <v>4.4990000000012742E-2</v>
      </c>
      <c r="O263" s="70"/>
      <c r="P263" s="71">
        <f t="shared" si="114"/>
        <v>8952.0129300000008</v>
      </c>
      <c r="Q263" s="35">
        <f t="shared" si="115"/>
        <v>6101.2320599999985</v>
      </c>
      <c r="R263" s="72">
        <v>1103809</v>
      </c>
      <c r="S263" s="72">
        <f t="shared" si="116"/>
        <v>15340.44499</v>
      </c>
    </row>
    <row r="264" spans="1:20">
      <c r="A264" s="9"/>
      <c r="B264" s="12"/>
      <c r="C264" s="12"/>
      <c r="D264" s="11" t="s">
        <v>7</v>
      </c>
      <c r="E264" s="97"/>
      <c r="F264" s="122" t="s">
        <v>85</v>
      </c>
      <c r="G264" s="98">
        <f>SUM(G265:G267)</f>
        <v>23430</v>
      </c>
      <c r="H264" s="98">
        <f t="shared" ref="H264:N264" si="131">SUM(H265:H267)</f>
        <v>23142.799999999999</v>
      </c>
      <c r="I264" s="98">
        <f t="shared" si="131"/>
        <v>8089.6</v>
      </c>
      <c r="J264" s="32">
        <f t="shared" si="131"/>
        <v>17041.567940000001</v>
      </c>
      <c r="K264" s="32">
        <f t="shared" si="131"/>
        <v>517.03499999999997</v>
      </c>
      <c r="L264" s="32">
        <f t="shared" si="131"/>
        <v>7572.5200100000002</v>
      </c>
      <c r="M264" s="32">
        <f t="shared" si="131"/>
        <v>8089.55501</v>
      </c>
      <c r="N264" s="32">
        <f t="shared" si="131"/>
        <v>4.4990000000012742E-2</v>
      </c>
      <c r="O264" s="68">
        <f>M264/I264*100</f>
        <v>99.999443853837022</v>
      </c>
      <c r="P264" s="71">
        <f t="shared" si="114"/>
        <v>8952.0129300000008</v>
      </c>
      <c r="Q264" s="35">
        <f t="shared" si="115"/>
        <v>6101.2320599999985</v>
      </c>
      <c r="R264" s="72">
        <v>1103810</v>
      </c>
      <c r="S264" s="72">
        <f t="shared" si="116"/>
        <v>15340.44499</v>
      </c>
      <c r="T264" s="62">
        <f>G264-J264</f>
        <v>6388.4320599999992</v>
      </c>
    </row>
    <row r="265" spans="1:20" ht="25.5">
      <c r="A265" s="100"/>
      <c r="B265" s="15"/>
      <c r="C265" s="15"/>
      <c r="D265" s="16"/>
      <c r="E265" s="20">
        <v>414</v>
      </c>
      <c r="F265" s="50" t="s">
        <v>105</v>
      </c>
      <c r="G265" s="37">
        <f>3430-1089.3+20000-186.8</f>
        <v>22153.9</v>
      </c>
      <c r="H265" s="37">
        <v>21866.7</v>
      </c>
      <c r="I265" s="37">
        <v>7902.8</v>
      </c>
      <c r="J265" s="75">
        <v>16854.81293</v>
      </c>
      <c r="K265" s="35">
        <f>'1.08'!M265</f>
        <v>517.03499999999997</v>
      </c>
      <c r="L265" s="35">
        <v>7385.7650000000003</v>
      </c>
      <c r="M265" s="93">
        <f>K265+L265</f>
        <v>7902.8</v>
      </c>
      <c r="N265" s="93">
        <f>I265-M265</f>
        <v>0</v>
      </c>
      <c r="O265" s="70">
        <f t="shared" ref="O265:O267" si="132">M265/I265*100</f>
        <v>100</v>
      </c>
      <c r="P265" s="71">
        <f t="shared" si="114"/>
        <v>8952.0129300000008</v>
      </c>
      <c r="Q265" s="35">
        <f t="shared" si="115"/>
        <v>5011.8870700000007</v>
      </c>
      <c r="R265" s="72">
        <v>1103811</v>
      </c>
      <c r="S265" s="72">
        <f t="shared" si="116"/>
        <v>14251.100000000002</v>
      </c>
    </row>
    <row r="266" spans="1:20">
      <c r="A266" s="100"/>
      <c r="B266" s="15"/>
      <c r="C266" s="15"/>
      <c r="D266" s="16"/>
      <c r="E266" s="20">
        <v>416</v>
      </c>
      <c r="F266" s="3" t="s">
        <v>170</v>
      </c>
      <c r="G266" s="37">
        <v>1089.3</v>
      </c>
      <c r="H266" s="37">
        <v>1089.3</v>
      </c>
      <c r="I266" s="37"/>
      <c r="J266" s="75">
        <f>M266</f>
        <v>0</v>
      </c>
      <c r="K266" s="35"/>
      <c r="L266" s="35"/>
      <c r="M266" s="93">
        <f>K266+L266</f>
        <v>0</v>
      </c>
      <c r="N266" s="93">
        <f t="shared" ref="N266" si="133">I266-M266</f>
        <v>0</v>
      </c>
      <c r="O266" s="70" t="e">
        <f t="shared" ref="O266" si="134">M266/I266*100</f>
        <v>#DIV/0!</v>
      </c>
      <c r="P266" s="71">
        <f t="shared" ref="P266" si="135">J266-M266</f>
        <v>0</v>
      </c>
      <c r="Q266" s="35">
        <f t="shared" ref="Q266" si="136">H266-J266</f>
        <v>1089.3</v>
      </c>
      <c r="R266" s="72">
        <v>1103812</v>
      </c>
      <c r="S266" s="72">
        <f t="shared" ref="S266" si="137">G266-M266</f>
        <v>1089.3</v>
      </c>
    </row>
    <row r="267" spans="1:20">
      <c r="A267" s="100"/>
      <c r="B267" s="15"/>
      <c r="C267" s="15"/>
      <c r="D267" s="16"/>
      <c r="E267" s="20">
        <v>419</v>
      </c>
      <c r="F267" s="86" t="s">
        <v>153</v>
      </c>
      <c r="G267" s="37">
        <v>186.8</v>
      </c>
      <c r="H267" s="37">
        <v>186.8</v>
      </c>
      <c r="I267" s="37">
        <v>186.8</v>
      </c>
      <c r="J267" s="75">
        <f>M267</f>
        <v>186.75501</v>
      </c>
      <c r="K267" s="35">
        <f>'1.08'!M266</f>
        <v>0</v>
      </c>
      <c r="L267" s="35">
        <v>186.75501</v>
      </c>
      <c r="M267" s="93">
        <f>K267+L267</f>
        <v>186.75501</v>
      </c>
      <c r="N267" s="93">
        <f t="shared" ref="N267" si="138">I267-M267</f>
        <v>4.4990000000012742E-2</v>
      </c>
      <c r="O267" s="70">
        <f t="shared" si="132"/>
        <v>99.97591541755888</v>
      </c>
      <c r="P267" s="71">
        <f t="shared" si="114"/>
        <v>0</v>
      </c>
      <c r="Q267" s="35">
        <f t="shared" si="115"/>
        <v>4.4990000000012742E-2</v>
      </c>
      <c r="R267" s="72">
        <v>1103812</v>
      </c>
      <c r="S267" s="72">
        <f t="shared" si="116"/>
        <v>4.4990000000012742E-2</v>
      </c>
    </row>
    <row r="268" spans="1:20" s="73" customFormat="1">
      <c r="A268" s="103"/>
      <c r="B268" s="8"/>
      <c r="C268" s="17" t="s">
        <v>30</v>
      </c>
      <c r="D268" s="21"/>
      <c r="E268" s="21"/>
      <c r="F268" s="139" t="s">
        <v>129</v>
      </c>
      <c r="G268" s="23">
        <f>G269+G271+G274</f>
        <v>6433090</v>
      </c>
      <c r="H268" s="23">
        <f>H269+H271+H274</f>
        <v>2579533</v>
      </c>
      <c r="I268" s="23">
        <f t="shared" ref="I268:N268" si="139">I269+I271+I274</f>
        <v>2571348</v>
      </c>
      <c r="J268" s="24">
        <f t="shared" si="139"/>
        <v>2570279.8944899999</v>
      </c>
      <c r="K268" s="24">
        <f t="shared" si="139"/>
        <v>2174333.0976100001</v>
      </c>
      <c r="L268" s="24">
        <f t="shared" si="139"/>
        <v>391778.67992999998</v>
      </c>
      <c r="M268" s="24">
        <f t="shared" si="139"/>
        <v>2566111.7775400002</v>
      </c>
      <c r="N268" s="24">
        <f t="shared" si="139"/>
        <v>5236.2224600000518</v>
      </c>
      <c r="O268" s="68">
        <f>M268/I268*100</f>
        <v>99.796362745921599</v>
      </c>
      <c r="P268" s="71">
        <f t="shared" si="114"/>
        <v>4168.116949999705</v>
      </c>
      <c r="Q268" s="35">
        <f t="shared" si="115"/>
        <v>9253.1055100001395</v>
      </c>
      <c r="R268" s="72">
        <v>1103813</v>
      </c>
      <c r="S268" s="72">
        <f t="shared" si="116"/>
        <v>3866978.2224599998</v>
      </c>
      <c r="T268" s="62">
        <f t="shared" ref="T268:T297" si="140">G268-J268</f>
        <v>3862810.1055100001</v>
      </c>
    </row>
    <row r="269" spans="1:20">
      <c r="A269" s="100"/>
      <c r="B269" s="8"/>
      <c r="C269" s="8"/>
      <c r="D269" s="17" t="s">
        <v>31</v>
      </c>
      <c r="E269" s="10"/>
      <c r="F269" s="140" t="s">
        <v>130</v>
      </c>
      <c r="G269" s="59">
        <f>G270</f>
        <v>2411900</v>
      </c>
      <c r="H269" s="59">
        <f t="shared" ref="H269:N269" si="141">H270</f>
        <v>834369</v>
      </c>
      <c r="I269" s="59">
        <f t="shared" si="141"/>
        <v>834369</v>
      </c>
      <c r="J269" s="59">
        <f t="shared" si="141"/>
        <v>834338.23399999994</v>
      </c>
      <c r="K269" s="29">
        <f t="shared" si="141"/>
        <v>637614</v>
      </c>
      <c r="L269" s="29">
        <f t="shared" si="141"/>
        <v>196724.234</v>
      </c>
      <c r="M269" s="29">
        <f t="shared" si="141"/>
        <v>834338.23399999994</v>
      </c>
      <c r="N269" s="29">
        <f t="shared" si="141"/>
        <v>30.766000000061467</v>
      </c>
      <c r="O269" s="68">
        <f t="shared" ref="O269:O286" si="142">M269/I269*100</f>
        <v>99.996312662622884</v>
      </c>
      <c r="P269" s="71">
        <f t="shared" si="114"/>
        <v>0</v>
      </c>
      <c r="Q269" s="35">
        <f t="shared" si="115"/>
        <v>30.766000000061467</v>
      </c>
      <c r="R269" s="72">
        <v>1103814</v>
      </c>
      <c r="S269" s="72">
        <f t="shared" si="116"/>
        <v>1577561.7660000001</v>
      </c>
      <c r="T269" s="62">
        <f t="shared" si="140"/>
        <v>1577561.7660000001</v>
      </c>
    </row>
    <row r="270" spans="1:20">
      <c r="A270" s="100"/>
      <c r="B270" s="9"/>
      <c r="C270" s="9"/>
      <c r="D270" s="69"/>
      <c r="E270" s="69">
        <v>159</v>
      </c>
      <c r="F270" s="136" t="s">
        <v>84</v>
      </c>
      <c r="G270" s="26">
        <f>3730007-768592-133813-415702</f>
        <v>2411900</v>
      </c>
      <c r="H270" s="26">
        <v>834369</v>
      </c>
      <c r="I270" s="26">
        <v>834369</v>
      </c>
      <c r="J270" s="105">
        <f>M270</f>
        <v>834338.23399999994</v>
      </c>
      <c r="K270" s="35">
        <f>'1.08'!M269</f>
        <v>637614</v>
      </c>
      <c r="L270" s="27">
        <v>196724.234</v>
      </c>
      <c r="M270" s="93">
        <f t="shared" si="125"/>
        <v>834338.23399999994</v>
      </c>
      <c r="N270" s="93">
        <f t="shared" ref="N270" si="143">I270-M270</f>
        <v>30.766000000061467</v>
      </c>
      <c r="O270" s="70">
        <f t="shared" si="142"/>
        <v>99.996312662622884</v>
      </c>
      <c r="P270" s="71">
        <f t="shared" si="114"/>
        <v>0</v>
      </c>
      <c r="Q270" s="35">
        <f t="shared" si="115"/>
        <v>30.766000000061467</v>
      </c>
      <c r="R270" s="72">
        <v>1103815</v>
      </c>
      <c r="S270" s="72">
        <f t="shared" si="116"/>
        <v>1577561.7660000001</v>
      </c>
      <c r="T270" s="62">
        <f t="shared" si="140"/>
        <v>1577561.7660000001</v>
      </c>
    </row>
    <row r="271" spans="1:20">
      <c r="A271" s="100"/>
      <c r="B271" s="8"/>
      <c r="C271" s="8"/>
      <c r="D271" s="17" t="s">
        <v>32</v>
      </c>
      <c r="E271" s="10"/>
      <c r="F271" s="140" t="s">
        <v>131</v>
      </c>
      <c r="G271" s="59">
        <f>G272+G273</f>
        <v>77035</v>
      </c>
      <c r="H271" s="59">
        <f t="shared" ref="H271:N271" si="144">H272+H273</f>
        <v>40236</v>
      </c>
      <c r="I271" s="59">
        <f t="shared" si="144"/>
        <v>32051</v>
      </c>
      <c r="J271" s="29">
        <f t="shared" si="144"/>
        <v>36203.790489999999</v>
      </c>
      <c r="K271" s="59">
        <f t="shared" si="144"/>
        <v>19050.353579999999</v>
      </c>
      <c r="L271" s="60">
        <f t="shared" si="144"/>
        <v>12985.319960000001</v>
      </c>
      <c r="M271" s="29">
        <f t="shared" si="144"/>
        <v>32035.67354</v>
      </c>
      <c r="N271" s="29">
        <f t="shared" si="144"/>
        <v>15.326460000000225</v>
      </c>
      <c r="O271" s="68">
        <f t="shared" ref="O271" si="145">O272</f>
        <v>99.924303300990815</v>
      </c>
      <c r="P271" s="71">
        <f t="shared" si="114"/>
        <v>4168.1169499999996</v>
      </c>
      <c r="Q271" s="35">
        <f t="shared" si="115"/>
        <v>4032.2095100000006</v>
      </c>
      <c r="R271" s="72">
        <v>1103816</v>
      </c>
      <c r="S271" s="72">
        <f t="shared" si="116"/>
        <v>44999.326459999997</v>
      </c>
      <c r="T271" s="62">
        <f t="shared" si="140"/>
        <v>40831.209510000001</v>
      </c>
    </row>
    <row r="272" spans="1:20">
      <c r="A272" s="100"/>
      <c r="B272" s="9"/>
      <c r="C272" s="9"/>
      <c r="D272" s="69"/>
      <c r="E272" s="69">
        <v>159</v>
      </c>
      <c r="F272" s="136" t="s">
        <v>84</v>
      </c>
      <c r="G272" s="26">
        <f>32846+12909</f>
        <v>45755</v>
      </c>
      <c r="H272" s="26">
        <v>24480</v>
      </c>
      <c r="I272" s="26">
        <v>19479</v>
      </c>
      <c r="J272" s="105">
        <v>23632.37199</v>
      </c>
      <c r="K272" s="35">
        <f>'1.08'!M271</f>
        <v>8833.3540799999992</v>
      </c>
      <c r="L272" s="27">
        <v>10630.900960000001</v>
      </c>
      <c r="M272" s="93">
        <f t="shared" si="125"/>
        <v>19464.25504</v>
      </c>
      <c r="N272" s="93">
        <f>I272-M272</f>
        <v>14.744959999999992</v>
      </c>
      <c r="O272" s="70">
        <f t="shared" si="142"/>
        <v>99.924303300990815</v>
      </c>
      <c r="P272" s="71">
        <f t="shared" si="114"/>
        <v>4168.1169499999996</v>
      </c>
      <c r="Q272" s="35">
        <f t="shared" si="115"/>
        <v>847.62801000000036</v>
      </c>
      <c r="R272" s="72">
        <v>1103817</v>
      </c>
      <c r="S272" s="72">
        <f t="shared" si="116"/>
        <v>26290.74496</v>
      </c>
      <c r="T272" s="62">
        <f t="shared" si="140"/>
        <v>22122.62801</v>
      </c>
    </row>
    <row r="273" spans="1:20">
      <c r="A273" s="100"/>
      <c r="B273" s="9"/>
      <c r="C273" s="9"/>
      <c r="D273" s="69"/>
      <c r="E273" s="69">
        <v>322</v>
      </c>
      <c r="F273" s="133" t="s">
        <v>82</v>
      </c>
      <c r="G273" s="26">
        <v>31280</v>
      </c>
      <c r="H273" s="26">
        <v>15756</v>
      </c>
      <c r="I273" s="26">
        <v>12572</v>
      </c>
      <c r="J273" s="28">
        <f>M273</f>
        <v>12571.4185</v>
      </c>
      <c r="K273" s="35">
        <f>'1.08'!M272</f>
        <v>10216.9995</v>
      </c>
      <c r="L273" s="27">
        <v>2354.4189999999999</v>
      </c>
      <c r="M273" s="93">
        <f t="shared" si="125"/>
        <v>12571.4185</v>
      </c>
      <c r="N273" s="93">
        <f>I273-M273</f>
        <v>0.58150000000023283</v>
      </c>
      <c r="O273" s="70">
        <f t="shared" si="142"/>
        <v>99.995374642061719</v>
      </c>
      <c r="P273" s="71">
        <f t="shared" si="114"/>
        <v>0</v>
      </c>
      <c r="Q273" s="35">
        <f t="shared" si="115"/>
        <v>3184.5815000000002</v>
      </c>
      <c r="R273" s="72">
        <v>1103818</v>
      </c>
      <c r="S273" s="72">
        <f t="shared" si="116"/>
        <v>18708.5815</v>
      </c>
    </row>
    <row r="274" spans="1:20" ht="25.5">
      <c r="A274" s="100"/>
      <c r="B274" s="8"/>
      <c r="C274" s="8"/>
      <c r="D274" s="17" t="s">
        <v>33</v>
      </c>
      <c r="E274" s="10"/>
      <c r="F274" s="140" t="s">
        <v>132</v>
      </c>
      <c r="G274" s="59">
        <f>G275+G283+G284+G285+G286+G287</f>
        <v>3944155</v>
      </c>
      <c r="H274" s="59">
        <f t="shared" ref="H274:N274" si="146">H275+H283+H284+H285+H286+H287</f>
        <v>1704928</v>
      </c>
      <c r="I274" s="59">
        <f t="shared" si="146"/>
        <v>1704928</v>
      </c>
      <c r="J274" s="60">
        <f t="shared" si="146"/>
        <v>1699737.87</v>
      </c>
      <c r="K274" s="60">
        <f t="shared" si="146"/>
        <v>1517668.7440300002</v>
      </c>
      <c r="L274" s="29">
        <f t="shared" si="146"/>
        <v>182069.12596999999</v>
      </c>
      <c r="M274" s="29">
        <f t="shared" si="146"/>
        <v>1699737.87</v>
      </c>
      <c r="N274" s="59">
        <f t="shared" si="146"/>
        <v>5190.1299999999901</v>
      </c>
      <c r="O274" s="68">
        <f>M274/I274*100</f>
        <v>99.695580693143654</v>
      </c>
      <c r="P274" s="71">
        <f>J274-M274</f>
        <v>0</v>
      </c>
      <c r="Q274" s="35">
        <f t="shared" si="115"/>
        <v>5190.1299999998882</v>
      </c>
      <c r="R274" s="72">
        <v>1103819</v>
      </c>
      <c r="S274" s="72">
        <f t="shared" si="116"/>
        <v>2244417.13</v>
      </c>
      <c r="T274" s="62">
        <f t="shared" si="140"/>
        <v>2244417.13</v>
      </c>
    </row>
    <row r="275" spans="1:20">
      <c r="A275" s="100"/>
      <c r="B275" s="9"/>
      <c r="C275" s="9"/>
      <c r="D275" s="69"/>
      <c r="E275" s="69">
        <v>159</v>
      </c>
      <c r="F275" s="141" t="s">
        <v>84</v>
      </c>
      <c r="G275" s="26">
        <f>SUM(G276:G282)</f>
        <v>3138252</v>
      </c>
      <c r="H275" s="26">
        <f>SUM(H276:H282)</f>
        <v>1366589.5</v>
      </c>
      <c r="I275" s="26">
        <f>SUM(I276:I282)</f>
        <v>1366589.5</v>
      </c>
      <c r="J275" s="26">
        <f t="shared" ref="J275:N275" si="147">SUM(J276:J282)</f>
        <v>1366589.5</v>
      </c>
      <c r="K275" s="26">
        <f t="shared" si="147"/>
        <v>1179870.9990300001</v>
      </c>
      <c r="L275" s="28">
        <f t="shared" si="147"/>
        <v>186718.50096999999</v>
      </c>
      <c r="M275" s="27">
        <f t="shared" si="147"/>
        <v>1366589.5</v>
      </c>
      <c r="N275" s="27">
        <f t="shared" si="147"/>
        <v>0</v>
      </c>
      <c r="O275" s="70">
        <f t="shared" si="142"/>
        <v>100</v>
      </c>
      <c r="P275" s="71">
        <f t="shared" si="114"/>
        <v>0</v>
      </c>
      <c r="Q275" s="35">
        <f t="shared" si="115"/>
        <v>0</v>
      </c>
      <c r="R275" s="72">
        <v>1103820</v>
      </c>
      <c r="S275" s="72">
        <f t="shared" si="116"/>
        <v>1771662.5</v>
      </c>
      <c r="T275" s="62">
        <f t="shared" si="140"/>
        <v>1771662.5</v>
      </c>
    </row>
    <row r="276" spans="1:20">
      <c r="A276" s="100"/>
      <c r="B276" s="9"/>
      <c r="C276" s="9"/>
      <c r="D276" s="69"/>
      <c r="E276" s="69"/>
      <c r="F276" s="55" t="s">
        <v>49</v>
      </c>
      <c r="G276" s="26">
        <v>1124154</v>
      </c>
      <c r="H276" s="61">
        <f>2050+93053-1993.6+82986.9+75619.1+73890.1+68932.7+67474.8+70474</f>
        <v>532487</v>
      </c>
      <c r="I276" s="61">
        <f>H276</f>
        <v>532487</v>
      </c>
      <c r="J276" s="105">
        <f>M276</f>
        <v>532487</v>
      </c>
      <c r="K276" s="35">
        <f>'1.08'!M275</f>
        <v>462013</v>
      </c>
      <c r="L276" s="22">
        <v>70474</v>
      </c>
      <c r="M276" s="93">
        <f>K276+L276</f>
        <v>532487</v>
      </c>
      <c r="N276" s="93">
        <f t="shared" ref="N276:N282" si="148">I276-M276</f>
        <v>0</v>
      </c>
      <c r="O276" s="70">
        <f t="shared" si="142"/>
        <v>100</v>
      </c>
      <c r="P276" s="71">
        <f t="shared" si="114"/>
        <v>0</v>
      </c>
      <c r="Q276" s="35">
        <f t="shared" si="115"/>
        <v>0</v>
      </c>
      <c r="R276" s="72">
        <v>1103821</v>
      </c>
      <c r="S276" s="72">
        <f t="shared" si="116"/>
        <v>591667</v>
      </c>
    </row>
    <row r="277" spans="1:20">
      <c r="A277" s="100"/>
      <c r="B277" s="9"/>
      <c r="C277" s="9"/>
      <c r="D277" s="69"/>
      <c r="E277" s="69"/>
      <c r="F277" s="55" t="s">
        <v>50</v>
      </c>
      <c r="G277" s="26">
        <v>130399</v>
      </c>
      <c r="H277" s="61">
        <f>26080-3722.9+19165.6+15755.3+13651.8+12342.2+11584.1+10969.6</f>
        <v>105825.70000000001</v>
      </c>
      <c r="I277" s="61">
        <f t="shared" ref="I277:I282" si="149">H277</f>
        <v>105825.70000000001</v>
      </c>
      <c r="J277" s="105">
        <f t="shared" ref="J277:J283" si="150">M277</f>
        <v>105825.70000000001</v>
      </c>
      <c r="K277" s="35">
        <f>'1.08'!M276</f>
        <v>94856.1</v>
      </c>
      <c r="L277" s="22">
        <v>10969.6</v>
      </c>
      <c r="M277" s="93">
        <f t="shared" ref="M277:M282" si="151">K277+L277</f>
        <v>105825.70000000001</v>
      </c>
      <c r="N277" s="93">
        <f t="shared" si="148"/>
        <v>0</v>
      </c>
      <c r="O277" s="70">
        <f t="shared" si="142"/>
        <v>100</v>
      </c>
      <c r="P277" s="71">
        <f t="shared" si="114"/>
        <v>0</v>
      </c>
      <c r="Q277" s="35">
        <f t="shared" si="115"/>
        <v>0</v>
      </c>
      <c r="R277" s="72">
        <v>1103822</v>
      </c>
      <c r="S277" s="72">
        <f t="shared" si="116"/>
        <v>24573.299999999988</v>
      </c>
    </row>
    <row r="278" spans="1:20" hidden="1">
      <c r="A278" s="100"/>
      <c r="B278" s="9"/>
      <c r="C278" s="9"/>
      <c r="D278" s="69"/>
      <c r="E278" s="69"/>
      <c r="F278" s="55" t="s">
        <v>51</v>
      </c>
      <c r="G278" s="26"/>
      <c r="H278" s="61"/>
      <c r="I278" s="61">
        <f t="shared" si="149"/>
        <v>0</v>
      </c>
      <c r="J278" s="105">
        <f t="shared" si="150"/>
        <v>0</v>
      </c>
      <c r="K278" s="35">
        <f>'1.08'!M277</f>
        <v>0</v>
      </c>
      <c r="L278" s="22"/>
      <c r="M278" s="93">
        <f t="shared" si="151"/>
        <v>0</v>
      </c>
      <c r="N278" s="93">
        <f t="shared" si="148"/>
        <v>0</v>
      </c>
      <c r="O278" s="70" t="e">
        <f t="shared" si="142"/>
        <v>#DIV/0!</v>
      </c>
      <c r="P278" s="71">
        <f t="shared" si="114"/>
        <v>0</v>
      </c>
      <c r="Q278" s="35">
        <f t="shared" si="115"/>
        <v>0</v>
      </c>
      <c r="R278" s="72">
        <v>1103823</v>
      </c>
      <c r="S278" s="72">
        <f t="shared" si="116"/>
        <v>0</v>
      </c>
    </row>
    <row r="279" spans="1:20" hidden="1">
      <c r="A279" s="100"/>
      <c r="B279" s="9"/>
      <c r="C279" s="9"/>
      <c r="D279" s="69"/>
      <c r="E279" s="69"/>
      <c r="F279" s="55" t="s">
        <v>52</v>
      </c>
      <c r="G279" s="26"/>
      <c r="H279" s="61"/>
      <c r="I279" s="61">
        <f t="shared" si="149"/>
        <v>0</v>
      </c>
      <c r="J279" s="105">
        <f t="shared" si="150"/>
        <v>0</v>
      </c>
      <c r="K279" s="35">
        <f>'1.08'!M278</f>
        <v>0</v>
      </c>
      <c r="L279" s="22"/>
      <c r="M279" s="93">
        <f t="shared" si="151"/>
        <v>0</v>
      </c>
      <c r="N279" s="93">
        <f t="shared" si="148"/>
        <v>0</v>
      </c>
      <c r="O279" s="70" t="e">
        <f t="shared" si="142"/>
        <v>#DIV/0!</v>
      </c>
      <c r="P279" s="71">
        <f t="shared" si="114"/>
        <v>0</v>
      </c>
      <c r="Q279" s="35">
        <f t="shared" si="115"/>
        <v>0</v>
      </c>
      <c r="R279" s="72">
        <v>1103824</v>
      </c>
      <c r="S279" s="72">
        <f t="shared" si="116"/>
        <v>0</v>
      </c>
    </row>
    <row r="280" spans="1:20">
      <c r="A280" s="100"/>
      <c r="B280" s="9"/>
      <c r="C280" s="9"/>
      <c r="D280" s="69"/>
      <c r="E280" s="69"/>
      <c r="F280" s="55" t="s">
        <v>53</v>
      </c>
      <c r="G280" s="26">
        <v>236664</v>
      </c>
      <c r="H280" s="61">
        <f>2906-1667.6+4700+5843.7+9331.6+10362.3+11803.4+13295.6</f>
        <v>56574.999999999993</v>
      </c>
      <c r="I280" s="61">
        <f t="shared" si="149"/>
        <v>56574.999999999993</v>
      </c>
      <c r="J280" s="105">
        <f t="shared" si="150"/>
        <v>56574.999999999993</v>
      </c>
      <c r="K280" s="35">
        <f>'1.08'!M279</f>
        <v>43279.399999999994</v>
      </c>
      <c r="L280" s="22">
        <v>13295.6</v>
      </c>
      <c r="M280" s="93">
        <f t="shared" si="151"/>
        <v>56574.999999999993</v>
      </c>
      <c r="N280" s="93">
        <f t="shared" si="148"/>
        <v>0</v>
      </c>
      <c r="O280" s="70">
        <f t="shared" si="142"/>
        <v>100</v>
      </c>
      <c r="P280" s="71">
        <f t="shared" si="114"/>
        <v>0</v>
      </c>
      <c r="Q280" s="35">
        <f t="shared" si="115"/>
        <v>0</v>
      </c>
      <c r="R280" s="72">
        <v>1103825</v>
      </c>
      <c r="S280" s="72">
        <f t="shared" si="116"/>
        <v>180089</v>
      </c>
    </row>
    <row r="281" spans="1:20">
      <c r="A281" s="100"/>
      <c r="B281" s="9"/>
      <c r="C281" s="9"/>
      <c r="D281" s="69"/>
      <c r="E281" s="69"/>
      <c r="F281" s="55" t="s">
        <v>54</v>
      </c>
      <c r="G281" s="26">
        <v>27612</v>
      </c>
      <c r="H281" s="61">
        <f>2111-228.7+1923.4+1926.2+1992.5+2070+2252+2311.4</f>
        <v>14357.8</v>
      </c>
      <c r="I281" s="61">
        <f t="shared" si="149"/>
        <v>14357.8</v>
      </c>
      <c r="J281" s="105">
        <f t="shared" si="150"/>
        <v>14357.8</v>
      </c>
      <c r="K281" s="35">
        <f>'1.08'!M280</f>
        <v>12046.4</v>
      </c>
      <c r="L281" s="22">
        <v>2311.4</v>
      </c>
      <c r="M281" s="93">
        <f t="shared" si="151"/>
        <v>14357.8</v>
      </c>
      <c r="N281" s="93">
        <f t="shared" si="148"/>
        <v>0</v>
      </c>
      <c r="O281" s="70">
        <f t="shared" si="142"/>
        <v>100</v>
      </c>
      <c r="P281" s="71">
        <f t="shared" si="114"/>
        <v>0</v>
      </c>
      <c r="Q281" s="35">
        <f t="shared" si="115"/>
        <v>0</v>
      </c>
      <c r="R281" s="72">
        <v>1103826</v>
      </c>
      <c r="S281" s="72">
        <f t="shared" si="116"/>
        <v>13254.2</v>
      </c>
    </row>
    <row r="282" spans="1:20">
      <c r="A282" s="100"/>
      <c r="B282" s="9"/>
      <c r="C282" s="9"/>
      <c r="D282" s="69"/>
      <c r="E282" s="69"/>
      <c r="F282" s="55" t="s">
        <v>55</v>
      </c>
      <c r="G282" s="26">
        <f>1186640+432783</f>
        <v>1619423</v>
      </c>
      <c r="H282" s="61">
        <f>101338-7295.2+96749.1+95542.4+95417+93929.1+91995.7+89667.9</f>
        <v>657344</v>
      </c>
      <c r="I282" s="61">
        <f t="shared" si="149"/>
        <v>657344</v>
      </c>
      <c r="J282" s="105">
        <f t="shared" si="150"/>
        <v>657343.99999999988</v>
      </c>
      <c r="K282" s="35">
        <f>'1.08'!M281</f>
        <v>567676.09902999992</v>
      </c>
      <c r="L282" s="22">
        <v>89667.900970000002</v>
      </c>
      <c r="M282" s="93">
        <f t="shared" si="151"/>
        <v>657343.99999999988</v>
      </c>
      <c r="N282" s="93">
        <f t="shared" si="148"/>
        <v>0</v>
      </c>
      <c r="O282" s="70">
        <f t="shared" si="142"/>
        <v>99.999999999999972</v>
      </c>
      <c r="P282" s="71">
        <f t="shared" si="114"/>
        <v>0</v>
      </c>
      <c r="Q282" s="35">
        <f t="shared" si="115"/>
        <v>0</v>
      </c>
      <c r="R282" s="72">
        <v>1103827</v>
      </c>
      <c r="S282" s="72">
        <f t="shared" si="116"/>
        <v>962079.00000000012</v>
      </c>
    </row>
    <row r="283" spans="1:20" hidden="1">
      <c r="A283" s="100"/>
      <c r="B283" s="9"/>
      <c r="C283" s="9"/>
      <c r="D283" s="69"/>
      <c r="E283" s="69">
        <v>169</v>
      </c>
      <c r="F283" s="136" t="s">
        <v>103</v>
      </c>
      <c r="G283" s="26">
        <f>503430+67470-570900</f>
        <v>0</v>
      </c>
      <c r="H283" s="26"/>
      <c r="I283" s="26"/>
      <c r="J283" s="105">
        <f t="shared" si="150"/>
        <v>0</v>
      </c>
      <c r="K283" s="35">
        <f>'1.08'!M282</f>
        <v>0</v>
      </c>
      <c r="L283" s="27"/>
      <c r="M283" s="93">
        <f>K283+L283</f>
        <v>0</v>
      </c>
      <c r="N283" s="93">
        <f>I283-M283</f>
        <v>0</v>
      </c>
      <c r="O283" s="70" t="e">
        <f t="shared" si="142"/>
        <v>#DIV/0!</v>
      </c>
      <c r="P283" s="71">
        <f t="shared" si="114"/>
        <v>0</v>
      </c>
      <c r="Q283" s="35">
        <f t="shared" si="115"/>
        <v>0</v>
      </c>
      <c r="R283" s="72">
        <v>1103828</v>
      </c>
      <c r="S283" s="72">
        <f t="shared" si="116"/>
        <v>0</v>
      </c>
      <c r="T283" s="62">
        <f t="shared" si="140"/>
        <v>0</v>
      </c>
    </row>
    <row r="284" spans="1:20" ht="25.5" hidden="1">
      <c r="A284" s="100"/>
      <c r="B284" s="9"/>
      <c r="C284" s="9"/>
      <c r="D284" s="69"/>
      <c r="E284" s="69">
        <v>311</v>
      </c>
      <c r="F284" s="3" t="s">
        <v>133</v>
      </c>
      <c r="G284" s="26"/>
      <c r="H284" s="26"/>
      <c r="I284" s="26"/>
      <c r="J284" s="105">
        <f>M284</f>
        <v>0</v>
      </c>
      <c r="K284" s="35">
        <f>'1.08'!M283</f>
        <v>0</v>
      </c>
      <c r="L284" s="27"/>
      <c r="M284" s="93">
        <f>K284+L284</f>
        <v>0</v>
      </c>
      <c r="N284" s="93">
        <f>I284-M284</f>
        <v>0</v>
      </c>
      <c r="O284" s="70" t="e">
        <f t="shared" si="142"/>
        <v>#DIV/0!</v>
      </c>
      <c r="P284" s="71">
        <f t="shared" si="114"/>
        <v>0</v>
      </c>
      <c r="Q284" s="35">
        <f t="shared" si="115"/>
        <v>0</v>
      </c>
      <c r="R284" s="72">
        <v>1103829</v>
      </c>
      <c r="S284" s="72">
        <f t="shared" si="116"/>
        <v>0</v>
      </c>
    </row>
    <row r="285" spans="1:20">
      <c r="A285" s="100"/>
      <c r="B285" s="9"/>
      <c r="C285" s="9"/>
      <c r="D285" s="69"/>
      <c r="E285" s="69">
        <v>313</v>
      </c>
      <c r="F285" s="3" t="s">
        <v>165</v>
      </c>
      <c r="G285" s="26">
        <f>10853+224150</f>
        <v>235003</v>
      </c>
      <c r="H285" s="26">
        <v>65329.2</v>
      </c>
      <c r="I285" s="26">
        <v>65329.2</v>
      </c>
      <c r="J285" s="105">
        <f>M285</f>
        <v>65329.125</v>
      </c>
      <c r="K285" s="35">
        <f>'1.08'!M284</f>
        <v>64788.5</v>
      </c>
      <c r="L285" s="27">
        <v>540.625</v>
      </c>
      <c r="M285" s="93">
        <f>K285+L285</f>
        <v>65329.125</v>
      </c>
      <c r="N285" s="93">
        <f>I285-M285</f>
        <v>7.4999999997089617E-2</v>
      </c>
      <c r="O285" s="70">
        <f t="shared" si="142"/>
        <v>99.999885196818582</v>
      </c>
      <c r="P285" s="71">
        <f t="shared" si="114"/>
        <v>0</v>
      </c>
      <c r="Q285" s="35">
        <f t="shared" si="115"/>
        <v>7.4999999997089617E-2</v>
      </c>
      <c r="R285" s="72">
        <v>1103829</v>
      </c>
      <c r="S285" s="72">
        <f t="shared" si="116"/>
        <v>169673.875</v>
      </c>
    </row>
    <row r="286" spans="1:20" ht="25.5" hidden="1">
      <c r="A286" s="100"/>
      <c r="B286" s="9"/>
      <c r="C286" s="9"/>
      <c r="D286" s="69"/>
      <c r="E286" s="69">
        <v>372</v>
      </c>
      <c r="F286" s="3" t="s">
        <v>169</v>
      </c>
      <c r="G286" s="26">
        <f>570900-570900</f>
        <v>0</v>
      </c>
      <c r="H286" s="26"/>
      <c r="I286" s="26"/>
      <c r="J286" s="105"/>
      <c r="K286" s="35"/>
      <c r="L286" s="27"/>
      <c r="M286" s="93">
        <f>K286+L286</f>
        <v>0</v>
      </c>
      <c r="N286" s="93">
        <f>I286-M286</f>
        <v>0</v>
      </c>
      <c r="O286" s="70" t="e">
        <f t="shared" si="142"/>
        <v>#DIV/0!</v>
      </c>
      <c r="P286" s="71">
        <f t="shared" si="114"/>
        <v>0</v>
      </c>
      <c r="Q286" s="35">
        <f t="shared" si="115"/>
        <v>0</v>
      </c>
      <c r="R286" s="72">
        <v>1103830</v>
      </c>
      <c r="S286" s="72">
        <f t="shared" si="116"/>
        <v>0</v>
      </c>
    </row>
    <row r="287" spans="1:20">
      <c r="A287" s="100"/>
      <c r="B287" s="9"/>
      <c r="C287" s="9"/>
      <c r="D287" s="69"/>
      <c r="E287" s="69">
        <v>374</v>
      </c>
      <c r="F287" s="3" t="s">
        <v>171</v>
      </c>
      <c r="G287" s="26">
        <v>570900</v>
      </c>
      <c r="H287" s="26">
        <v>273009.3</v>
      </c>
      <c r="I287" s="26">
        <v>273009.3</v>
      </c>
      <c r="J287" s="105">
        <f>M287</f>
        <v>267819.245</v>
      </c>
      <c r="K287" s="35">
        <v>273009.245</v>
      </c>
      <c r="L287" s="27">
        <v>-5190</v>
      </c>
      <c r="M287" s="93">
        <f>K287+L287</f>
        <v>267819.245</v>
      </c>
      <c r="N287" s="93">
        <f>I287-M287</f>
        <v>5190.054999999993</v>
      </c>
      <c r="O287" s="70">
        <f t="shared" ref="O287" si="152">M287/I287*100</f>
        <v>98.098945713570927</v>
      </c>
      <c r="P287" s="71"/>
      <c r="Q287" s="35"/>
      <c r="R287" s="72"/>
      <c r="S287" s="72"/>
    </row>
    <row r="288" spans="1:20" s="73" customFormat="1" ht="25.5">
      <c r="A288" s="103"/>
      <c r="B288" s="8"/>
      <c r="C288" s="17" t="s">
        <v>34</v>
      </c>
      <c r="D288" s="21"/>
      <c r="E288" s="21"/>
      <c r="F288" s="125" t="s">
        <v>134</v>
      </c>
      <c r="G288" s="23">
        <f>G289</f>
        <v>10428</v>
      </c>
      <c r="H288" s="23">
        <f t="shared" ref="H288:O288" si="153">H289</f>
        <v>10380</v>
      </c>
      <c r="I288" s="23">
        <f t="shared" si="153"/>
        <v>10380</v>
      </c>
      <c r="J288" s="38">
        <f t="shared" si="153"/>
        <v>9082.5</v>
      </c>
      <c r="K288" s="38">
        <f t="shared" si="153"/>
        <v>3892.5</v>
      </c>
      <c r="L288" s="23">
        <f t="shared" si="153"/>
        <v>5190</v>
      </c>
      <c r="M288" s="24">
        <f t="shared" si="153"/>
        <v>9082.5</v>
      </c>
      <c r="N288" s="24">
        <f t="shared" si="153"/>
        <v>1297.5</v>
      </c>
      <c r="O288" s="39">
        <f t="shared" si="153"/>
        <v>87.5</v>
      </c>
      <c r="P288" s="71">
        <f t="shared" si="114"/>
        <v>0</v>
      </c>
      <c r="Q288" s="35">
        <f t="shared" si="115"/>
        <v>1297.5</v>
      </c>
      <c r="R288" s="72">
        <v>1103830</v>
      </c>
      <c r="S288" s="72">
        <f t="shared" si="116"/>
        <v>1345.5</v>
      </c>
      <c r="T288" s="62">
        <f t="shared" si="140"/>
        <v>1345.5</v>
      </c>
    </row>
    <row r="289" spans="1:20">
      <c r="A289" s="100"/>
      <c r="B289" s="8"/>
      <c r="C289" s="8"/>
      <c r="D289" s="17" t="s">
        <v>7</v>
      </c>
      <c r="E289" s="10"/>
      <c r="F289" s="135" t="s">
        <v>85</v>
      </c>
      <c r="G289" s="59">
        <f>SUM(G290:G292)</f>
        <v>10428</v>
      </c>
      <c r="H289" s="59">
        <f t="shared" ref="H289:N289" si="154">SUM(H290:H292)</f>
        <v>10380</v>
      </c>
      <c r="I289" s="59">
        <f t="shared" si="154"/>
        <v>10380</v>
      </c>
      <c r="J289" s="59">
        <f t="shared" si="154"/>
        <v>9082.5</v>
      </c>
      <c r="K289" s="59">
        <f t="shared" si="154"/>
        <v>3892.5</v>
      </c>
      <c r="L289" s="59">
        <f t="shared" si="154"/>
        <v>5190</v>
      </c>
      <c r="M289" s="59">
        <f t="shared" si="154"/>
        <v>9082.5</v>
      </c>
      <c r="N289" s="59">
        <f t="shared" si="154"/>
        <v>1297.5</v>
      </c>
      <c r="O289" s="68">
        <f>M289/I289*100</f>
        <v>87.5</v>
      </c>
      <c r="P289" s="59">
        <f>SUM(P290:P292)</f>
        <v>0</v>
      </c>
      <c r="Q289" s="59">
        <f t="shared" ref="Q289" si="155">SUM(Q290:Q292)</f>
        <v>1297.5</v>
      </c>
      <c r="R289" s="59">
        <f t="shared" ref="R289" si="156">SUM(R290:R292)</f>
        <v>3311499</v>
      </c>
      <c r="S289" s="59">
        <f t="shared" ref="S289" si="157">SUM(S290:S292)</f>
        <v>1345.5</v>
      </c>
      <c r="T289" s="62">
        <f t="shared" si="140"/>
        <v>1345.5</v>
      </c>
    </row>
    <row r="290" spans="1:20" ht="25.5">
      <c r="A290" s="100"/>
      <c r="B290" s="9"/>
      <c r="C290" s="9"/>
      <c r="D290" s="69"/>
      <c r="E290" s="69">
        <v>311</v>
      </c>
      <c r="F290" s="142" t="s">
        <v>133</v>
      </c>
      <c r="G290" s="26">
        <f>10428-10428</f>
        <v>0</v>
      </c>
      <c r="H290" s="26"/>
      <c r="I290" s="26"/>
      <c r="J290" s="105">
        <f>M290</f>
        <v>0</v>
      </c>
      <c r="K290" s="35">
        <f>'1.08'!M288</f>
        <v>0</v>
      </c>
      <c r="L290" s="27"/>
      <c r="M290" s="93">
        <f>K290+L290</f>
        <v>0</v>
      </c>
      <c r="N290" s="93">
        <f>I290-M290</f>
        <v>0</v>
      </c>
      <c r="O290" s="70" t="e">
        <f>M290/I290*100</f>
        <v>#DIV/0!</v>
      </c>
      <c r="P290" s="71">
        <f t="shared" si="114"/>
        <v>0</v>
      </c>
      <c r="Q290" s="35">
        <f t="shared" si="115"/>
        <v>0</v>
      </c>
      <c r="R290" s="72">
        <v>1103832</v>
      </c>
      <c r="S290" s="72">
        <f t="shared" si="116"/>
        <v>0</v>
      </c>
      <c r="T290" s="62">
        <f t="shared" si="140"/>
        <v>0</v>
      </c>
    </row>
    <row r="291" spans="1:20">
      <c r="A291" s="100"/>
      <c r="B291" s="9"/>
      <c r="C291" s="9"/>
      <c r="D291" s="69"/>
      <c r="E291" s="69">
        <v>312</v>
      </c>
      <c r="F291" s="3" t="s">
        <v>166</v>
      </c>
      <c r="G291" s="26">
        <f>10428-6487.5</f>
        <v>3940.5</v>
      </c>
      <c r="H291" s="26">
        <v>3892.5</v>
      </c>
      <c r="I291" s="26">
        <v>3892.5</v>
      </c>
      <c r="J291" s="105">
        <f>M291</f>
        <v>3892.5</v>
      </c>
      <c r="K291" s="35">
        <f>'1.08'!M289</f>
        <v>3892.5</v>
      </c>
      <c r="L291" s="27"/>
      <c r="M291" s="93">
        <f>K291+L291</f>
        <v>3892.5</v>
      </c>
      <c r="N291" s="93">
        <f>I291-M291</f>
        <v>0</v>
      </c>
      <c r="O291" s="70">
        <f>M291/I291*100</f>
        <v>100</v>
      </c>
      <c r="P291" s="71">
        <f t="shared" si="114"/>
        <v>0</v>
      </c>
      <c r="Q291" s="35">
        <f t="shared" si="115"/>
        <v>0</v>
      </c>
      <c r="R291" s="72">
        <v>1103833</v>
      </c>
      <c r="S291" s="72">
        <f t="shared" si="116"/>
        <v>48</v>
      </c>
    </row>
    <row r="292" spans="1:20">
      <c r="A292" s="100"/>
      <c r="B292" s="9"/>
      <c r="C292" s="9"/>
      <c r="D292" s="69"/>
      <c r="E292" s="69">
        <v>313</v>
      </c>
      <c r="F292" s="3" t="s">
        <v>172</v>
      </c>
      <c r="G292" s="26">
        <v>6487.5</v>
      </c>
      <c r="H292" s="26">
        <v>6487.5</v>
      </c>
      <c r="I292" s="26">
        <v>6487.5</v>
      </c>
      <c r="J292" s="105">
        <f>M292</f>
        <v>5190</v>
      </c>
      <c r="K292" s="35"/>
      <c r="L292" s="27">
        <v>5190</v>
      </c>
      <c r="M292" s="93">
        <f>K292+L292</f>
        <v>5190</v>
      </c>
      <c r="N292" s="93">
        <f>I292-M292</f>
        <v>1297.5</v>
      </c>
      <c r="O292" s="70">
        <f>M292/I292*100</f>
        <v>80</v>
      </c>
      <c r="P292" s="71">
        <f t="shared" ref="P292" si="158">J292-M292</f>
        <v>0</v>
      </c>
      <c r="Q292" s="35">
        <f t="shared" ref="Q292" si="159">H292-J292</f>
        <v>1297.5</v>
      </c>
      <c r="R292" s="72">
        <v>1103834</v>
      </c>
      <c r="S292" s="72">
        <f t="shared" ref="S292" si="160">G292-M292</f>
        <v>1297.5</v>
      </c>
    </row>
    <row r="293" spans="1:20" s="73" customFormat="1">
      <c r="A293" s="8"/>
      <c r="B293" s="58">
        <v>1268</v>
      </c>
      <c r="C293" s="8"/>
      <c r="D293" s="21"/>
      <c r="E293" s="21"/>
      <c r="F293" s="143" t="s">
        <v>135</v>
      </c>
      <c r="G293" s="59">
        <f>G294+G323</f>
        <v>662207</v>
      </c>
      <c r="H293" s="59">
        <f t="shared" ref="H293:N293" si="161">H294+H323</f>
        <v>296457.60000000003</v>
      </c>
      <c r="I293" s="59">
        <f t="shared" si="161"/>
        <v>244994.2</v>
      </c>
      <c r="J293" s="29">
        <f t="shared" si="161"/>
        <v>296179.47953999997</v>
      </c>
      <c r="K293" s="29">
        <f>'1.02.'!M262</f>
        <v>2434.3649999999998</v>
      </c>
      <c r="L293" s="60">
        <f t="shared" si="161"/>
        <v>54414.205819999988</v>
      </c>
      <c r="M293" s="29">
        <f t="shared" si="161"/>
        <v>244898.31034000003</v>
      </c>
      <c r="N293" s="29">
        <f t="shared" si="161"/>
        <v>95.889660000000219</v>
      </c>
      <c r="O293" s="68">
        <f t="shared" ref="O293:O297" si="162">M293/I293*100</f>
        <v>99.960860436696052</v>
      </c>
      <c r="P293" s="71">
        <f t="shared" si="114"/>
        <v>51281.169199999946</v>
      </c>
      <c r="Q293" s="35">
        <f t="shared" si="115"/>
        <v>278.12046000006376</v>
      </c>
      <c r="R293" s="72">
        <v>1103833</v>
      </c>
      <c r="S293" s="72">
        <f t="shared" si="116"/>
        <v>417308.68965999997</v>
      </c>
      <c r="T293" s="62">
        <f t="shared" si="140"/>
        <v>366027.52046000003</v>
      </c>
    </row>
    <row r="294" spans="1:20" ht="25.5">
      <c r="A294" s="8"/>
      <c r="B294" s="8"/>
      <c r="C294" s="17" t="s">
        <v>38</v>
      </c>
      <c r="D294" s="17"/>
      <c r="E294" s="21"/>
      <c r="F294" s="139" t="s">
        <v>121</v>
      </c>
      <c r="G294" s="42">
        <f>G302</f>
        <v>605260</v>
      </c>
      <c r="H294" s="42">
        <f t="shared" ref="H294:N294" si="163">H302</f>
        <v>258650.10000000003</v>
      </c>
      <c r="I294" s="42">
        <f t="shared" si="163"/>
        <v>212655.1</v>
      </c>
      <c r="J294" s="42">
        <f t="shared" si="163"/>
        <v>258514.53766</v>
      </c>
      <c r="K294" s="29">
        <f>'1.02.'!M263</f>
        <v>2434.3649999999998</v>
      </c>
      <c r="L294" s="60">
        <f t="shared" si="163"/>
        <v>49428.393029999992</v>
      </c>
      <c r="M294" s="29">
        <f t="shared" si="163"/>
        <v>212559.24034000002</v>
      </c>
      <c r="N294" s="29">
        <f t="shared" si="163"/>
        <v>95.859660000000247</v>
      </c>
      <c r="O294" s="68">
        <f t="shared" si="162"/>
        <v>99.954922473056143</v>
      </c>
      <c r="P294" s="71">
        <f t="shared" si="114"/>
        <v>45955.297319999983</v>
      </c>
      <c r="Q294" s="35">
        <f t="shared" si="115"/>
        <v>135.56234000003315</v>
      </c>
      <c r="R294" s="72">
        <v>1103834</v>
      </c>
      <c r="S294" s="72">
        <f t="shared" si="116"/>
        <v>392700.75965999998</v>
      </c>
      <c r="T294" s="62">
        <f t="shared" si="140"/>
        <v>346745.46233999997</v>
      </c>
    </row>
    <row r="295" spans="1:20" hidden="1">
      <c r="A295" s="8"/>
      <c r="B295" s="8"/>
      <c r="C295" s="8"/>
      <c r="D295" s="17" t="s">
        <v>28</v>
      </c>
      <c r="E295" s="10"/>
      <c r="F295" s="135" t="s">
        <v>85</v>
      </c>
      <c r="G295" s="42">
        <f>SUM(G296:G301)</f>
        <v>0</v>
      </c>
      <c r="H295" s="42">
        <f t="shared" ref="H295:N295" si="164">SUM(H296:H301)</f>
        <v>0</v>
      </c>
      <c r="I295" s="42">
        <f t="shared" si="164"/>
        <v>0</v>
      </c>
      <c r="J295" s="33" t="e">
        <f t="shared" si="164"/>
        <v>#REF!</v>
      </c>
      <c r="K295" s="29" t="e">
        <f>'1.02.'!M264</f>
        <v>#REF!</v>
      </c>
      <c r="L295" s="33">
        <f t="shared" si="164"/>
        <v>0</v>
      </c>
      <c r="M295" s="29" t="e">
        <f t="shared" si="164"/>
        <v>#REF!</v>
      </c>
      <c r="N295" s="29" t="e">
        <f t="shared" si="164"/>
        <v>#REF!</v>
      </c>
      <c r="O295" s="68" t="e">
        <f t="shared" si="162"/>
        <v>#REF!</v>
      </c>
      <c r="P295" s="71" t="e">
        <f t="shared" si="114"/>
        <v>#REF!</v>
      </c>
      <c r="Q295" s="35" t="e">
        <f t="shared" si="115"/>
        <v>#REF!</v>
      </c>
      <c r="R295" s="72">
        <v>1103835</v>
      </c>
      <c r="S295" s="72" t="e">
        <f t="shared" si="116"/>
        <v>#REF!</v>
      </c>
      <c r="T295" s="62" t="e">
        <f t="shared" si="140"/>
        <v>#REF!</v>
      </c>
    </row>
    <row r="296" spans="1:20" s="73" customFormat="1" hidden="1">
      <c r="A296" s="9"/>
      <c r="B296" s="9"/>
      <c r="C296" s="9"/>
      <c r="D296" s="69"/>
      <c r="E296" s="69">
        <v>111</v>
      </c>
      <c r="F296" s="3" t="s">
        <v>0</v>
      </c>
      <c r="G296" s="26"/>
      <c r="H296" s="26"/>
      <c r="I296" s="26"/>
      <c r="J296" s="105" t="e">
        <f t="shared" ref="J296:J301" si="165">M296</f>
        <v>#REF!</v>
      </c>
      <c r="K296" s="29" t="e">
        <f>'1.02.'!M265</f>
        <v>#REF!</v>
      </c>
      <c r="L296" s="27"/>
      <c r="M296" s="35" t="e">
        <f t="shared" ref="M296:M301" si="166">K296+L296</f>
        <v>#REF!</v>
      </c>
      <c r="N296" s="35" t="e">
        <f t="shared" ref="N296:N301" si="167">I296-M296</f>
        <v>#REF!</v>
      </c>
      <c r="O296" s="70" t="e">
        <f t="shared" si="162"/>
        <v>#REF!</v>
      </c>
      <c r="P296" s="71" t="e">
        <f t="shared" si="114"/>
        <v>#REF!</v>
      </c>
      <c r="Q296" s="35" t="e">
        <f t="shared" si="115"/>
        <v>#REF!</v>
      </c>
      <c r="R296" s="72">
        <v>1103836</v>
      </c>
      <c r="S296" s="72" t="e">
        <f t="shared" si="116"/>
        <v>#REF!</v>
      </c>
      <c r="T296" s="62" t="e">
        <f t="shared" si="140"/>
        <v>#REF!</v>
      </c>
    </row>
    <row r="297" spans="1:20" hidden="1">
      <c r="A297" s="9"/>
      <c r="B297" s="9"/>
      <c r="C297" s="9"/>
      <c r="D297" s="69"/>
      <c r="E297" s="76">
        <v>113</v>
      </c>
      <c r="F297" s="3" t="s">
        <v>1</v>
      </c>
      <c r="G297" s="26"/>
      <c r="H297" s="26"/>
      <c r="I297" s="26"/>
      <c r="J297" s="105" t="e">
        <f t="shared" si="165"/>
        <v>#REF!</v>
      </c>
      <c r="K297" s="29" t="e">
        <f>'1.02.'!M266</f>
        <v>#REF!</v>
      </c>
      <c r="L297" s="27"/>
      <c r="M297" s="35" t="e">
        <f t="shared" si="166"/>
        <v>#REF!</v>
      </c>
      <c r="N297" s="35" t="e">
        <f t="shared" si="167"/>
        <v>#REF!</v>
      </c>
      <c r="O297" s="70" t="e">
        <f t="shared" si="162"/>
        <v>#REF!</v>
      </c>
      <c r="P297" s="71" t="e">
        <f t="shared" ref="P297:P327" si="168">J297-M297</f>
        <v>#REF!</v>
      </c>
      <c r="Q297" s="35" t="e">
        <f t="shared" ref="Q297:Q327" si="169">H297-J297</f>
        <v>#REF!</v>
      </c>
      <c r="R297" s="72">
        <v>1103837</v>
      </c>
      <c r="S297" s="72" t="e">
        <f t="shared" ref="S297:S327" si="170">G297-M297</f>
        <v>#REF!</v>
      </c>
      <c r="T297" s="62" t="e">
        <f t="shared" si="140"/>
        <v>#REF!</v>
      </c>
    </row>
    <row r="298" spans="1:20" hidden="1">
      <c r="A298" s="9"/>
      <c r="B298" s="9"/>
      <c r="C298" s="9"/>
      <c r="D298" s="69"/>
      <c r="E298" s="69">
        <v>116</v>
      </c>
      <c r="F298" s="3" t="s">
        <v>42</v>
      </c>
      <c r="G298" s="26"/>
      <c r="H298" s="26"/>
      <c r="I298" s="26"/>
      <c r="J298" s="105" t="e">
        <f t="shared" si="165"/>
        <v>#REF!</v>
      </c>
      <c r="K298" s="29" t="e">
        <f>'1.02.'!M267</f>
        <v>#REF!</v>
      </c>
      <c r="L298" s="27"/>
      <c r="M298" s="35" t="e">
        <f t="shared" si="166"/>
        <v>#REF!</v>
      </c>
      <c r="N298" s="35" t="e">
        <f t="shared" si="167"/>
        <v>#REF!</v>
      </c>
      <c r="O298" s="70" t="e">
        <f>M298/I298*100</f>
        <v>#REF!</v>
      </c>
      <c r="P298" s="71" t="e">
        <f t="shared" si="168"/>
        <v>#REF!</v>
      </c>
      <c r="Q298" s="35" t="e">
        <f t="shared" si="169"/>
        <v>#REF!</v>
      </c>
      <c r="R298" s="72">
        <v>1103838</v>
      </c>
      <c r="S298" s="72" t="e">
        <f t="shared" si="170"/>
        <v>#REF!</v>
      </c>
    </row>
    <row r="299" spans="1:20" s="73" customFormat="1" hidden="1">
      <c r="A299" s="9"/>
      <c r="B299" s="9"/>
      <c r="C299" s="9"/>
      <c r="D299" s="69"/>
      <c r="E299" s="69">
        <v>121</v>
      </c>
      <c r="F299" s="3" t="s">
        <v>2</v>
      </c>
      <c r="G299" s="26"/>
      <c r="H299" s="26"/>
      <c r="I299" s="26"/>
      <c r="J299" s="105" t="e">
        <f t="shared" si="165"/>
        <v>#REF!</v>
      </c>
      <c r="K299" s="29" t="e">
        <f>'1.02.'!M268</f>
        <v>#REF!</v>
      </c>
      <c r="L299" s="27"/>
      <c r="M299" s="35" t="e">
        <f t="shared" si="166"/>
        <v>#REF!</v>
      </c>
      <c r="N299" s="35" t="e">
        <f t="shared" si="167"/>
        <v>#REF!</v>
      </c>
      <c r="O299" s="70" t="e">
        <f>M299/I299*100</f>
        <v>#REF!</v>
      </c>
      <c r="P299" s="71" t="e">
        <f t="shared" si="168"/>
        <v>#REF!</v>
      </c>
      <c r="Q299" s="35" t="e">
        <f t="shared" si="169"/>
        <v>#REF!</v>
      </c>
      <c r="R299" s="72">
        <v>1103839</v>
      </c>
      <c r="S299" s="72" t="e">
        <f t="shared" si="170"/>
        <v>#REF!</v>
      </c>
      <c r="T299" s="62" t="e">
        <f t="shared" ref="T299:T303" si="171">G299-J299</f>
        <v>#REF!</v>
      </c>
    </row>
    <row r="300" spans="1:20" s="73" customFormat="1" hidden="1">
      <c r="A300" s="9"/>
      <c r="B300" s="9"/>
      <c r="C300" s="9"/>
      <c r="D300" s="69"/>
      <c r="E300" s="69">
        <v>122</v>
      </c>
      <c r="F300" s="3" t="s">
        <v>3</v>
      </c>
      <c r="G300" s="26"/>
      <c r="H300" s="26"/>
      <c r="I300" s="26"/>
      <c r="J300" s="105" t="e">
        <f t="shared" si="165"/>
        <v>#REF!</v>
      </c>
      <c r="K300" s="29" t="e">
        <f>'1.02.'!M269</f>
        <v>#REF!</v>
      </c>
      <c r="L300" s="27"/>
      <c r="M300" s="35" t="e">
        <f t="shared" si="166"/>
        <v>#REF!</v>
      </c>
      <c r="N300" s="35" t="e">
        <f t="shared" si="167"/>
        <v>#REF!</v>
      </c>
      <c r="O300" s="70" t="e">
        <f t="shared" ref="O300:O305" si="172">M300/I300*100</f>
        <v>#REF!</v>
      </c>
      <c r="P300" s="71" t="e">
        <f t="shared" si="168"/>
        <v>#REF!</v>
      </c>
      <c r="Q300" s="35" t="e">
        <f t="shared" si="169"/>
        <v>#REF!</v>
      </c>
      <c r="R300" s="72">
        <v>1103840</v>
      </c>
      <c r="S300" s="72" t="e">
        <f t="shared" si="170"/>
        <v>#REF!</v>
      </c>
      <c r="T300" s="62" t="e">
        <f t="shared" si="171"/>
        <v>#REF!</v>
      </c>
    </row>
    <row r="301" spans="1:20" s="73" customFormat="1" hidden="1">
      <c r="A301" s="9"/>
      <c r="B301" s="9"/>
      <c r="C301" s="9"/>
      <c r="D301" s="69"/>
      <c r="E301" s="69">
        <v>124</v>
      </c>
      <c r="F301" s="3" t="s">
        <v>19</v>
      </c>
      <c r="G301" s="26"/>
      <c r="H301" s="26"/>
      <c r="I301" s="26"/>
      <c r="J301" s="105" t="e">
        <f t="shared" si="165"/>
        <v>#REF!</v>
      </c>
      <c r="K301" s="29" t="e">
        <f>'1.02.'!M270</f>
        <v>#REF!</v>
      </c>
      <c r="L301" s="27"/>
      <c r="M301" s="35" t="e">
        <f t="shared" si="166"/>
        <v>#REF!</v>
      </c>
      <c r="N301" s="35" t="e">
        <f t="shared" si="167"/>
        <v>#REF!</v>
      </c>
      <c r="O301" s="70" t="e">
        <f t="shared" si="172"/>
        <v>#REF!</v>
      </c>
      <c r="P301" s="71" t="e">
        <f t="shared" si="168"/>
        <v>#REF!</v>
      </c>
      <c r="Q301" s="35" t="e">
        <f t="shared" si="169"/>
        <v>#REF!</v>
      </c>
      <c r="R301" s="72">
        <v>1103841</v>
      </c>
      <c r="S301" s="72" t="e">
        <f t="shared" si="170"/>
        <v>#REF!</v>
      </c>
      <c r="T301" s="62" t="e">
        <f t="shared" si="171"/>
        <v>#REF!</v>
      </c>
    </row>
    <row r="302" spans="1:20">
      <c r="A302" s="8"/>
      <c r="B302" s="8"/>
      <c r="C302" s="17"/>
      <c r="D302" s="17" t="s">
        <v>7</v>
      </c>
      <c r="E302" s="10"/>
      <c r="F302" s="135" t="s">
        <v>85</v>
      </c>
      <c r="G302" s="40">
        <f>SUM(G303:G322)</f>
        <v>605260</v>
      </c>
      <c r="H302" s="40">
        <f>SUM(H303:H322)</f>
        <v>258650.10000000003</v>
      </c>
      <c r="I302" s="40">
        <f>SUM(I303:I322)</f>
        <v>212655.1</v>
      </c>
      <c r="J302" s="24">
        <f t="shared" ref="J302" si="173">SUM(J303:J322)</f>
        <v>258514.53766</v>
      </c>
      <c r="K302" s="29">
        <f>'1.02.'!M271</f>
        <v>2434.3649999999998</v>
      </c>
      <c r="L302" s="24">
        <f>SUM(L303:L322)</f>
        <v>49428.393029999992</v>
      </c>
      <c r="M302" s="24">
        <f t="shared" ref="M302" si="174">SUM(M303:M322)</f>
        <v>212559.24034000002</v>
      </c>
      <c r="N302" s="24">
        <f>SUM(N303:N322)</f>
        <v>95.859660000000247</v>
      </c>
      <c r="O302" s="66">
        <f t="shared" si="172"/>
        <v>99.954922473056143</v>
      </c>
      <c r="P302" s="71">
        <f t="shared" si="168"/>
        <v>45955.297319999983</v>
      </c>
      <c r="Q302" s="35">
        <f t="shared" si="169"/>
        <v>135.56234000003315</v>
      </c>
      <c r="R302" s="72">
        <v>1103842</v>
      </c>
      <c r="S302" s="72">
        <f t="shared" si="170"/>
        <v>392700.75965999998</v>
      </c>
      <c r="T302" s="62">
        <f t="shared" si="171"/>
        <v>346745.46233999997</v>
      </c>
    </row>
    <row r="303" spans="1:20">
      <c r="A303" s="8"/>
      <c r="B303" s="9"/>
      <c r="C303" s="9"/>
      <c r="D303" s="69"/>
      <c r="E303" s="69">
        <v>111</v>
      </c>
      <c r="F303" s="136" t="s">
        <v>86</v>
      </c>
      <c r="G303" s="26">
        <f>395706-34947-1433-3400</f>
        <v>355926</v>
      </c>
      <c r="H303" s="26">
        <v>103627</v>
      </c>
      <c r="I303" s="26">
        <v>103627</v>
      </c>
      <c r="J303" s="105">
        <f>M303</f>
        <v>103627</v>
      </c>
      <c r="K303" s="35">
        <f>'1.08'!M300</f>
        <v>75627</v>
      </c>
      <c r="L303" s="27">
        <v>28000</v>
      </c>
      <c r="M303" s="93">
        <f t="shared" ref="M303:M305" si="175">K303+L303</f>
        <v>103627</v>
      </c>
      <c r="N303" s="93">
        <f t="shared" ref="N303:N305" si="176">I303-M303</f>
        <v>0</v>
      </c>
      <c r="O303" s="70">
        <f t="shared" si="172"/>
        <v>100</v>
      </c>
      <c r="P303" s="71">
        <f t="shared" si="168"/>
        <v>0</v>
      </c>
      <c r="Q303" s="35">
        <f t="shared" si="169"/>
        <v>0</v>
      </c>
      <c r="R303" s="72">
        <v>1103843</v>
      </c>
      <c r="S303" s="72">
        <f t="shared" si="170"/>
        <v>252299</v>
      </c>
      <c r="T303" s="62">
        <f t="shared" si="171"/>
        <v>252299</v>
      </c>
    </row>
    <row r="304" spans="1:20">
      <c r="A304" s="8"/>
      <c r="B304" s="9"/>
      <c r="C304" s="9"/>
      <c r="D304" s="69"/>
      <c r="E304" s="69">
        <v>112</v>
      </c>
      <c r="F304" s="136" t="s">
        <v>87</v>
      </c>
      <c r="G304" s="26">
        <f>4300+3400</f>
        <v>7700</v>
      </c>
      <c r="H304" s="26">
        <v>7700</v>
      </c>
      <c r="I304" s="26">
        <v>7700</v>
      </c>
      <c r="J304" s="105">
        <f t="shared" ref="J304:J322" si="177">M304</f>
        <v>7700</v>
      </c>
      <c r="K304" s="35">
        <f>'1.08'!M301</f>
        <v>7700</v>
      </c>
      <c r="L304" s="27"/>
      <c r="M304" s="93">
        <f t="shared" si="175"/>
        <v>7700</v>
      </c>
      <c r="N304" s="93">
        <f t="shared" si="176"/>
        <v>0</v>
      </c>
      <c r="O304" s="70">
        <f t="shared" si="172"/>
        <v>100</v>
      </c>
      <c r="P304" s="71">
        <f t="shared" si="168"/>
        <v>0</v>
      </c>
      <c r="Q304" s="35">
        <f t="shared" si="169"/>
        <v>0</v>
      </c>
      <c r="R304" s="72">
        <v>1103844</v>
      </c>
      <c r="S304" s="72">
        <f t="shared" si="170"/>
        <v>0</v>
      </c>
    </row>
    <row r="305" spans="1:20">
      <c r="A305" s="8"/>
      <c r="B305" s="9"/>
      <c r="C305" s="9"/>
      <c r="D305" s="69"/>
      <c r="E305" s="76">
        <v>113</v>
      </c>
      <c r="F305" s="136" t="s">
        <v>88</v>
      </c>
      <c r="G305" s="26">
        <f>19666-5000</f>
        <v>14666</v>
      </c>
      <c r="H305" s="26"/>
      <c r="I305" s="26"/>
      <c r="J305" s="105">
        <f t="shared" si="177"/>
        <v>0</v>
      </c>
      <c r="K305" s="35">
        <f>'1.08'!M302</f>
        <v>0</v>
      </c>
      <c r="L305" s="27"/>
      <c r="M305" s="93">
        <f t="shared" si="175"/>
        <v>0</v>
      </c>
      <c r="N305" s="93">
        <f t="shared" si="176"/>
        <v>0</v>
      </c>
      <c r="O305" s="70" t="e">
        <f t="shared" si="172"/>
        <v>#DIV/0!</v>
      </c>
      <c r="P305" s="71">
        <f t="shared" si="168"/>
        <v>0</v>
      </c>
      <c r="Q305" s="35">
        <f t="shared" si="169"/>
        <v>0</v>
      </c>
      <c r="R305" s="72">
        <v>1103845</v>
      </c>
      <c r="S305" s="72">
        <f t="shared" si="170"/>
        <v>14666</v>
      </c>
      <c r="T305" s="62">
        <f t="shared" ref="T305" si="178">G305-J305</f>
        <v>14666</v>
      </c>
    </row>
    <row r="306" spans="1:20">
      <c r="A306" s="8"/>
      <c r="B306" s="9"/>
      <c r="C306" s="9"/>
      <c r="D306" s="69"/>
      <c r="E306" s="69">
        <v>116</v>
      </c>
      <c r="F306" s="136" t="s">
        <v>89</v>
      </c>
      <c r="G306" s="26">
        <f>13850-2000-300</f>
        <v>11550</v>
      </c>
      <c r="H306" s="26">
        <v>2534</v>
      </c>
      <c r="I306" s="26">
        <v>2534</v>
      </c>
      <c r="J306" s="105">
        <f t="shared" si="177"/>
        <v>2534</v>
      </c>
      <c r="K306" s="35">
        <f>'1.08'!M303</f>
        <v>1604</v>
      </c>
      <c r="L306" s="27">
        <v>930</v>
      </c>
      <c r="M306" s="93">
        <f>K306+L306</f>
        <v>2534</v>
      </c>
      <c r="N306" s="93">
        <f>I306-M306</f>
        <v>0</v>
      </c>
      <c r="O306" s="70">
        <f>M306/I306*100</f>
        <v>100</v>
      </c>
      <c r="P306" s="71">
        <f t="shared" si="168"/>
        <v>0</v>
      </c>
      <c r="Q306" s="35">
        <f t="shared" si="169"/>
        <v>0</v>
      </c>
      <c r="R306" s="72">
        <v>1103846</v>
      </c>
      <c r="S306" s="72">
        <f t="shared" si="170"/>
        <v>9016</v>
      </c>
    </row>
    <row r="307" spans="1:20">
      <c r="A307" s="8"/>
      <c r="B307" s="9"/>
      <c r="C307" s="9"/>
      <c r="D307" s="69"/>
      <c r="E307" s="69">
        <v>121</v>
      </c>
      <c r="F307" s="136" t="s">
        <v>90</v>
      </c>
      <c r="G307" s="26">
        <f>20498-5000-1000</f>
        <v>14498</v>
      </c>
      <c r="H307" s="26">
        <v>5892</v>
      </c>
      <c r="I307" s="26">
        <v>5892</v>
      </c>
      <c r="J307" s="105">
        <f t="shared" si="177"/>
        <v>5892</v>
      </c>
      <c r="K307" s="35">
        <f>'1.08'!M304</f>
        <v>4292</v>
      </c>
      <c r="L307" s="27">
        <v>1600</v>
      </c>
      <c r="M307" s="93">
        <f t="shared" ref="M307:M320" si="179">K307+L307</f>
        <v>5892</v>
      </c>
      <c r="N307" s="93">
        <f t="shared" ref="N307:N322" si="180">I307-M307</f>
        <v>0</v>
      </c>
      <c r="O307" s="70">
        <f t="shared" ref="O307:O327" si="181">M307/I307*100</f>
        <v>100</v>
      </c>
      <c r="P307" s="71">
        <f t="shared" si="168"/>
        <v>0</v>
      </c>
      <c r="Q307" s="35">
        <f t="shared" si="169"/>
        <v>0</v>
      </c>
      <c r="R307" s="72">
        <v>1103847</v>
      </c>
      <c r="S307" s="72">
        <f t="shared" si="170"/>
        <v>8606</v>
      </c>
      <c r="T307" s="62">
        <f t="shared" ref="T307:T316" si="182">G307-J307</f>
        <v>8606</v>
      </c>
    </row>
    <row r="308" spans="1:20">
      <c r="A308" s="8"/>
      <c r="B308" s="9"/>
      <c r="C308" s="9"/>
      <c r="D308" s="69"/>
      <c r="E308" s="69">
        <v>122</v>
      </c>
      <c r="F308" s="136" t="s">
        <v>91</v>
      </c>
      <c r="G308" s="26">
        <f>17807-5000-711</f>
        <v>12096</v>
      </c>
      <c r="H308" s="26">
        <v>4627</v>
      </c>
      <c r="I308" s="26">
        <v>4627</v>
      </c>
      <c r="J308" s="105">
        <f t="shared" si="177"/>
        <v>4626.6689999999999</v>
      </c>
      <c r="K308" s="35">
        <f>'1.08'!M305</f>
        <v>3457</v>
      </c>
      <c r="L308" s="27">
        <v>1169.6690000000001</v>
      </c>
      <c r="M308" s="93">
        <f t="shared" si="179"/>
        <v>4626.6689999999999</v>
      </c>
      <c r="N308" s="93">
        <f t="shared" si="180"/>
        <v>0.33100000000013097</v>
      </c>
      <c r="O308" s="70">
        <f t="shared" si="181"/>
        <v>99.992846336719253</v>
      </c>
      <c r="P308" s="71">
        <f t="shared" si="168"/>
        <v>0</v>
      </c>
      <c r="Q308" s="35">
        <f t="shared" si="169"/>
        <v>0.33100000000013097</v>
      </c>
      <c r="R308" s="72">
        <v>1103848</v>
      </c>
      <c r="S308" s="72">
        <f t="shared" si="170"/>
        <v>7469.3310000000001</v>
      </c>
      <c r="T308" s="62">
        <f t="shared" si="182"/>
        <v>7469.3310000000001</v>
      </c>
    </row>
    <row r="309" spans="1:20">
      <c r="A309" s="8"/>
      <c r="B309" s="9"/>
      <c r="C309" s="9"/>
      <c r="D309" s="69"/>
      <c r="E309" s="69">
        <v>123</v>
      </c>
      <c r="F309" s="136" t="s">
        <v>92</v>
      </c>
      <c r="G309" s="26">
        <v>103</v>
      </c>
      <c r="H309" s="26">
        <v>50</v>
      </c>
      <c r="I309" s="26">
        <v>50</v>
      </c>
      <c r="J309" s="105">
        <f t="shared" si="177"/>
        <v>50</v>
      </c>
      <c r="K309" s="35">
        <f>'1.08'!M306</f>
        <v>0</v>
      </c>
      <c r="L309" s="27">
        <v>50</v>
      </c>
      <c r="M309" s="93">
        <f t="shared" si="179"/>
        <v>50</v>
      </c>
      <c r="N309" s="93">
        <f t="shared" si="180"/>
        <v>0</v>
      </c>
      <c r="O309" s="70">
        <f t="shared" si="181"/>
        <v>100</v>
      </c>
      <c r="P309" s="71">
        <f t="shared" si="168"/>
        <v>0</v>
      </c>
      <c r="Q309" s="35">
        <f t="shared" si="169"/>
        <v>0</v>
      </c>
      <c r="R309" s="72">
        <v>1103849</v>
      </c>
      <c r="S309" s="72">
        <f t="shared" si="170"/>
        <v>53</v>
      </c>
      <c r="T309" s="62">
        <f t="shared" si="182"/>
        <v>53</v>
      </c>
    </row>
    <row r="310" spans="1:20">
      <c r="A310" s="9"/>
      <c r="B310" s="9"/>
      <c r="C310" s="9"/>
      <c r="D310" s="69"/>
      <c r="E310" s="69">
        <v>124</v>
      </c>
      <c r="F310" s="136" t="s">
        <v>93</v>
      </c>
      <c r="G310" s="26">
        <f>11872-5000-856</f>
        <v>6016</v>
      </c>
      <c r="H310" s="26">
        <v>3075</v>
      </c>
      <c r="I310" s="26">
        <v>3075</v>
      </c>
      <c r="J310" s="105">
        <f t="shared" si="177"/>
        <v>3075</v>
      </c>
      <c r="K310" s="35">
        <f>'1.08'!M307</f>
        <v>2915</v>
      </c>
      <c r="L310" s="27">
        <v>160</v>
      </c>
      <c r="M310" s="93">
        <f t="shared" si="179"/>
        <v>3075</v>
      </c>
      <c r="N310" s="93">
        <f t="shared" si="180"/>
        <v>0</v>
      </c>
      <c r="O310" s="70">
        <f t="shared" si="181"/>
        <v>100</v>
      </c>
      <c r="P310" s="71">
        <f t="shared" si="168"/>
        <v>0</v>
      </c>
      <c r="Q310" s="35">
        <f t="shared" si="169"/>
        <v>0</v>
      </c>
      <c r="R310" s="72">
        <v>1103850</v>
      </c>
      <c r="S310" s="72">
        <f t="shared" si="170"/>
        <v>2941</v>
      </c>
      <c r="T310" s="62">
        <f t="shared" si="182"/>
        <v>2941</v>
      </c>
    </row>
    <row r="311" spans="1:20" s="73" customFormat="1">
      <c r="A311" s="9"/>
      <c r="B311" s="9"/>
      <c r="C311" s="9"/>
      <c r="D311" s="69"/>
      <c r="E311" s="69">
        <v>141</v>
      </c>
      <c r="F311" s="136" t="s">
        <v>116</v>
      </c>
      <c r="G311" s="26">
        <f>42256-747-5493.7</f>
        <v>36015.300000000003</v>
      </c>
      <c r="H311" s="26">
        <v>35141.4</v>
      </c>
      <c r="I311" s="26">
        <v>8133</v>
      </c>
      <c r="J311" s="27">
        <v>35141.395499999999</v>
      </c>
      <c r="K311" s="35">
        <f>'1.08'!M308</f>
        <v>5133</v>
      </c>
      <c r="L311" s="27">
        <v>3000</v>
      </c>
      <c r="M311" s="93">
        <f t="shared" si="179"/>
        <v>8133</v>
      </c>
      <c r="N311" s="93">
        <f t="shared" si="180"/>
        <v>0</v>
      </c>
      <c r="O311" s="70">
        <f t="shared" si="181"/>
        <v>100</v>
      </c>
      <c r="P311" s="71">
        <f t="shared" si="168"/>
        <v>27008.395499999999</v>
      </c>
      <c r="Q311" s="35">
        <f t="shared" si="169"/>
        <v>4.5000000027357601E-3</v>
      </c>
      <c r="R311" s="72">
        <v>1103851</v>
      </c>
      <c r="S311" s="72">
        <f t="shared" si="170"/>
        <v>27882.300000000003</v>
      </c>
      <c r="T311" s="62">
        <f t="shared" si="182"/>
        <v>873.90450000000419</v>
      </c>
    </row>
    <row r="312" spans="1:20">
      <c r="A312" s="9"/>
      <c r="B312" s="9"/>
      <c r="C312" s="9"/>
      <c r="D312" s="69"/>
      <c r="E312" s="69">
        <v>142</v>
      </c>
      <c r="F312" s="136" t="s">
        <v>122</v>
      </c>
      <c r="G312" s="26">
        <f>3014+356.2</f>
        <v>3370.2</v>
      </c>
      <c r="H312" s="26">
        <v>3370.2</v>
      </c>
      <c r="I312" s="26">
        <v>3370.2</v>
      </c>
      <c r="J312" s="105">
        <v>3370.16</v>
      </c>
      <c r="K312" s="35">
        <f>'1.08'!M309</f>
        <v>3370.16</v>
      </c>
      <c r="L312" s="27"/>
      <c r="M312" s="93">
        <f t="shared" si="179"/>
        <v>3370.16</v>
      </c>
      <c r="N312" s="93">
        <f t="shared" si="180"/>
        <v>3.999999999996362E-2</v>
      </c>
      <c r="O312" s="70">
        <f t="shared" si="181"/>
        <v>99.998813126817396</v>
      </c>
      <c r="P312" s="71">
        <f t="shared" si="168"/>
        <v>0</v>
      </c>
      <c r="Q312" s="35">
        <f t="shared" si="169"/>
        <v>3.999999999996362E-2</v>
      </c>
      <c r="R312" s="72">
        <v>1103852</v>
      </c>
      <c r="S312" s="72">
        <f t="shared" si="170"/>
        <v>3.999999999996362E-2</v>
      </c>
      <c r="T312" s="62">
        <f t="shared" si="182"/>
        <v>3.999999999996362E-2</v>
      </c>
    </row>
    <row r="313" spans="1:20">
      <c r="A313" s="9"/>
      <c r="B313" s="9"/>
      <c r="C313" s="9"/>
      <c r="D313" s="69"/>
      <c r="E313" s="69">
        <v>144</v>
      </c>
      <c r="F313" s="136" t="s">
        <v>97</v>
      </c>
      <c r="G313" s="26">
        <f>400+87.5+185</f>
        <v>672.5</v>
      </c>
      <c r="H313" s="26">
        <v>672.5</v>
      </c>
      <c r="I313" s="26">
        <v>487.5</v>
      </c>
      <c r="J313" s="105">
        <v>671.90192999999999</v>
      </c>
      <c r="K313" s="35">
        <f>'1.08'!M310</f>
        <v>399.99793</v>
      </c>
      <c r="L313" s="27"/>
      <c r="M313" s="93">
        <f t="shared" si="179"/>
        <v>399.99793</v>
      </c>
      <c r="N313" s="93">
        <f t="shared" si="180"/>
        <v>87.502070000000003</v>
      </c>
      <c r="O313" s="70">
        <f t="shared" si="181"/>
        <v>82.050857435897441</v>
      </c>
      <c r="P313" s="71">
        <f t="shared" si="168"/>
        <v>271.904</v>
      </c>
      <c r="Q313" s="35">
        <f t="shared" si="169"/>
        <v>0.59807000000000698</v>
      </c>
      <c r="R313" s="72">
        <v>1103853</v>
      </c>
      <c r="S313" s="72">
        <f t="shared" si="170"/>
        <v>272.50207</v>
      </c>
      <c r="T313" s="62">
        <f t="shared" si="182"/>
        <v>0.59807000000000698</v>
      </c>
    </row>
    <row r="314" spans="1:20">
      <c r="A314" s="9"/>
      <c r="B314" s="9"/>
      <c r="C314" s="9"/>
      <c r="D314" s="69"/>
      <c r="E314" s="69">
        <v>149</v>
      </c>
      <c r="F314" s="136" t="s">
        <v>98</v>
      </c>
      <c r="G314" s="26">
        <f>7350+30000</f>
        <v>37350</v>
      </c>
      <c r="H314" s="26">
        <v>27713.7</v>
      </c>
      <c r="I314" s="26">
        <v>27713.7</v>
      </c>
      <c r="J314" s="105">
        <v>27713.7</v>
      </c>
      <c r="K314" s="35">
        <f>'1.08'!M311</f>
        <v>26173.406660000001</v>
      </c>
      <c r="L314" s="27">
        <v>1540.2933399999999</v>
      </c>
      <c r="M314" s="93">
        <f t="shared" si="179"/>
        <v>27713.7</v>
      </c>
      <c r="N314" s="93">
        <f>I314-M314</f>
        <v>0</v>
      </c>
      <c r="O314" s="70">
        <f t="shared" si="181"/>
        <v>100</v>
      </c>
      <c r="P314" s="71">
        <f t="shared" si="168"/>
        <v>0</v>
      </c>
      <c r="Q314" s="35">
        <f t="shared" si="169"/>
        <v>0</v>
      </c>
      <c r="R314" s="72">
        <v>1103854</v>
      </c>
      <c r="S314" s="72">
        <f t="shared" si="170"/>
        <v>9636.2999999999993</v>
      </c>
      <c r="T314" s="62">
        <f t="shared" si="182"/>
        <v>9636.2999999999993</v>
      </c>
    </row>
    <row r="315" spans="1:20">
      <c r="A315" s="9"/>
      <c r="B315" s="9"/>
      <c r="C315" s="9"/>
      <c r="D315" s="69"/>
      <c r="E315" s="69">
        <v>151</v>
      </c>
      <c r="F315" s="136" t="s">
        <v>99</v>
      </c>
      <c r="G315" s="26">
        <f>46563+4414</f>
        <v>50977</v>
      </c>
      <c r="H315" s="26">
        <v>29656</v>
      </c>
      <c r="I315" s="26">
        <v>29656</v>
      </c>
      <c r="J315" s="105">
        <f t="shared" si="177"/>
        <v>29656</v>
      </c>
      <c r="K315" s="35">
        <f>'1.08'!M312</f>
        <v>23502.61044</v>
      </c>
      <c r="L315" s="27">
        <v>6153.3895599999996</v>
      </c>
      <c r="M315" s="93">
        <f t="shared" si="179"/>
        <v>29656</v>
      </c>
      <c r="N315" s="93">
        <f t="shared" si="180"/>
        <v>0</v>
      </c>
      <c r="O315" s="70">
        <f t="shared" si="181"/>
        <v>100</v>
      </c>
      <c r="P315" s="71">
        <f t="shared" si="168"/>
        <v>0</v>
      </c>
      <c r="Q315" s="35">
        <f t="shared" si="169"/>
        <v>0</v>
      </c>
      <c r="R315" s="72">
        <v>1103855</v>
      </c>
      <c r="S315" s="72">
        <f t="shared" si="170"/>
        <v>21321</v>
      </c>
      <c r="T315" s="62">
        <f t="shared" si="182"/>
        <v>21321</v>
      </c>
    </row>
    <row r="316" spans="1:20" hidden="1">
      <c r="A316" s="9"/>
      <c r="B316" s="9"/>
      <c r="C316" s="9"/>
      <c r="D316" s="69"/>
      <c r="E316" s="69">
        <v>152</v>
      </c>
      <c r="F316" s="3" t="s">
        <v>4</v>
      </c>
      <c r="G316" s="26"/>
      <c r="H316" s="26"/>
      <c r="I316" s="26"/>
      <c r="J316" s="105">
        <f t="shared" si="177"/>
        <v>0</v>
      </c>
      <c r="K316" s="35">
        <f>'1.08'!M313</f>
        <v>0</v>
      </c>
      <c r="L316" s="27"/>
      <c r="M316" s="93">
        <f t="shared" si="179"/>
        <v>0</v>
      </c>
      <c r="N316" s="93">
        <f t="shared" si="180"/>
        <v>0</v>
      </c>
      <c r="O316" s="70" t="e">
        <f t="shared" si="181"/>
        <v>#DIV/0!</v>
      </c>
      <c r="P316" s="71">
        <f t="shared" si="168"/>
        <v>0</v>
      </c>
      <c r="Q316" s="35">
        <f t="shared" si="169"/>
        <v>0</v>
      </c>
      <c r="R316" s="72">
        <v>1103856</v>
      </c>
      <c r="S316" s="72">
        <f t="shared" si="170"/>
        <v>0</v>
      </c>
      <c r="T316" s="62">
        <f t="shared" si="182"/>
        <v>0</v>
      </c>
    </row>
    <row r="317" spans="1:20">
      <c r="A317" s="9"/>
      <c r="B317" s="9"/>
      <c r="C317" s="9"/>
      <c r="D317" s="69"/>
      <c r="E317" s="69">
        <v>152</v>
      </c>
      <c r="F317" s="3" t="s">
        <v>100</v>
      </c>
      <c r="G317" s="26">
        <f>5050+7109-5050</f>
        <v>7109</v>
      </c>
      <c r="H317" s="26">
        <v>5050.1000000000004</v>
      </c>
      <c r="I317" s="26">
        <v>535.4</v>
      </c>
      <c r="J317" s="105">
        <v>5049.9999900000003</v>
      </c>
      <c r="K317" s="35">
        <f>'1.08'!M314</f>
        <v>0</v>
      </c>
      <c r="L317" s="27">
        <v>535.39680999999996</v>
      </c>
      <c r="M317" s="93">
        <f t="shared" si="179"/>
        <v>535.39680999999996</v>
      </c>
      <c r="N317" s="93">
        <f t="shared" si="180"/>
        <v>3.1900000000177897E-3</v>
      </c>
      <c r="O317" s="70">
        <f t="shared" si="181"/>
        <v>99.999404183787817</v>
      </c>
      <c r="P317" s="71">
        <f t="shared" si="168"/>
        <v>4514.6031800000001</v>
      </c>
      <c r="Q317" s="35">
        <f t="shared" si="169"/>
        <v>0.10001000000011118</v>
      </c>
      <c r="R317" s="72">
        <v>1103857</v>
      </c>
      <c r="S317" s="72">
        <f t="shared" si="170"/>
        <v>6573.6031899999998</v>
      </c>
    </row>
    <row r="318" spans="1:20">
      <c r="A318" s="9"/>
      <c r="B318" s="9"/>
      <c r="C318" s="9"/>
      <c r="D318" s="69"/>
      <c r="E318" s="69">
        <v>158</v>
      </c>
      <c r="F318" s="136" t="s">
        <v>101</v>
      </c>
      <c r="G318" s="26">
        <v>730</v>
      </c>
      <c r="H318" s="26">
        <v>730</v>
      </c>
      <c r="I318" s="26">
        <v>427</v>
      </c>
      <c r="J318" s="105">
        <v>730</v>
      </c>
      <c r="K318" s="35">
        <f>'1.08'!M315</f>
        <v>366</v>
      </c>
      <c r="L318" s="27">
        <v>61</v>
      </c>
      <c r="M318" s="93">
        <f t="shared" si="179"/>
        <v>427</v>
      </c>
      <c r="N318" s="93">
        <f t="shared" si="180"/>
        <v>0</v>
      </c>
      <c r="O318" s="70">
        <f t="shared" si="181"/>
        <v>100</v>
      </c>
      <c r="P318" s="71">
        <f t="shared" si="168"/>
        <v>303</v>
      </c>
      <c r="Q318" s="35">
        <f t="shared" si="169"/>
        <v>0</v>
      </c>
      <c r="R318" s="72">
        <v>1103857</v>
      </c>
      <c r="S318" s="72">
        <f t="shared" si="170"/>
        <v>303</v>
      </c>
    </row>
    <row r="319" spans="1:20">
      <c r="A319" s="9"/>
      <c r="B319" s="9"/>
      <c r="C319" s="9"/>
      <c r="D319" s="69"/>
      <c r="E319" s="69">
        <v>159</v>
      </c>
      <c r="F319" s="136" t="s">
        <v>84</v>
      </c>
      <c r="G319" s="26">
        <f>24280+21109</f>
        <v>45389</v>
      </c>
      <c r="H319" s="26">
        <v>27719.200000000001</v>
      </c>
      <c r="I319" s="26">
        <v>13735.3</v>
      </c>
      <c r="J319" s="105">
        <v>27592.694640000002</v>
      </c>
      <c r="K319" s="35">
        <f>'1.08'!M316</f>
        <v>7843.6722799999998</v>
      </c>
      <c r="L319" s="27">
        <v>5891.6277200000004</v>
      </c>
      <c r="M319" s="93">
        <f t="shared" si="179"/>
        <v>13735.3</v>
      </c>
      <c r="N319" s="93">
        <f t="shared" si="180"/>
        <v>0</v>
      </c>
      <c r="O319" s="70">
        <f t="shared" si="181"/>
        <v>100</v>
      </c>
      <c r="P319" s="71">
        <f t="shared" si="168"/>
        <v>13857.394640000002</v>
      </c>
      <c r="Q319" s="35">
        <f t="shared" si="169"/>
        <v>126.5053599999992</v>
      </c>
      <c r="R319" s="72">
        <v>1103858</v>
      </c>
      <c r="S319" s="72">
        <f t="shared" si="170"/>
        <v>31653.7</v>
      </c>
      <c r="T319" s="62">
        <f t="shared" ref="T319:T322" si="183">G319-J319</f>
        <v>17796.305359999998</v>
      </c>
    </row>
    <row r="320" spans="1:20">
      <c r="A320" s="9"/>
      <c r="B320" s="9"/>
      <c r="C320" s="9"/>
      <c r="D320" s="69"/>
      <c r="E320" s="69">
        <v>161</v>
      </c>
      <c r="F320" s="136" t="s">
        <v>102</v>
      </c>
      <c r="G320" s="26">
        <f>747+315</f>
        <v>1062</v>
      </c>
      <c r="H320" s="26">
        <v>1062</v>
      </c>
      <c r="I320" s="26">
        <v>1062</v>
      </c>
      <c r="J320" s="105">
        <f t="shared" si="177"/>
        <v>1061.4189999999999</v>
      </c>
      <c r="K320" s="35">
        <f>'1.08'!M317</f>
        <v>747</v>
      </c>
      <c r="L320" s="27">
        <v>314.41899999999998</v>
      </c>
      <c r="M320" s="93">
        <f t="shared" si="179"/>
        <v>1061.4189999999999</v>
      </c>
      <c r="N320" s="93">
        <f t="shared" si="180"/>
        <v>0.58100000000013097</v>
      </c>
      <c r="O320" s="70">
        <f t="shared" si="181"/>
        <v>99.94529190207156</v>
      </c>
      <c r="P320" s="71">
        <f t="shared" si="168"/>
        <v>0</v>
      </c>
      <c r="Q320" s="35">
        <f t="shared" si="169"/>
        <v>0.58100000000013097</v>
      </c>
      <c r="R320" s="72">
        <v>1103859</v>
      </c>
      <c r="S320" s="72">
        <f t="shared" si="170"/>
        <v>0.58100000000013097</v>
      </c>
      <c r="T320" s="62">
        <f t="shared" si="183"/>
        <v>0.58100000000013097</v>
      </c>
    </row>
    <row r="321" spans="1:20">
      <c r="A321" s="9"/>
      <c r="B321" s="9"/>
      <c r="C321" s="9"/>
      <c r="D321" s="69"/>
      <c r="E321" s="69">
        <v>168</v>
      </c>
      <c r="F321" s="136" t="s">
        <v>167</v>
      </c>
      <c r="G321" s="26">
        <v>30</v>
      </c>
      <c r="H321" s="26">
        <v>30</v>
      </c>
      <c r="I321" s="26">
        <v>30</v>
      </c>
      <c r="J321" s="105">
        <f>M321</f>
        <v>22.5976</v>
      </c>
      <c r="K321" s="35"/>
      <c r="L321" s="27">
        <v>22.5976</v>
      </c>
      <c r="M321" s="93">
        <f t="shared" ref="M321" si="184">K321+L321</f>
        <v>22.5976</v>
      </c>
      <c r="N321" s="93">
        <f t="shared" ref="N321" si="185">I321-M321</f>
        <v>7.4024000000000001</v>
      </c>
      <c r="O321" s="70">
        <f t="shared" ref="O321" si="186">M321/I321*100</f>
        <v>75.325333333333333</v>
      </c>
      <c r="P321" s="71">
        <f t="shared" ref="P321" si="187">J321-M321</f>
        <v>0</v>
      </c>
      <c r="Q321" s="35">
        <f t="shared" ref="Q321" si="188">H321-J321</f>
        <v>7.4024000000000001</v>
      </c>
      <c r="R321" s="72">
        <v>1103860</v>
      </c>
      <c r="S321" s="72">
        <f t="shared" ref="S321" si="189">G321-M321</f>
        <v>7.4024000000000001</v>
      </c>
    </row>
    <row r="322" spans="1:20">
      <c r="A322" s="9"/>
      <c r="B322" s="9"/>
      <c r="C322" s="9"/>
      <c r="D322" s="69"/>
      <c r="E322" s="69">
        <v>169</v>
      </c>
      <c r="F322" s="136" t="s">
        <v>103</v>
      </c>
      <c r="G322" s="26"/>
      <c r="H322" s="26"/>
      <c r="I322" s="26"/>
      <c r="J322" s="105">
        <f t="shared" si="177"/>
        <v>0</v>
      </c>
      <c r="K322" s="35">
        <f>'1.08'!M318</f>
        <v>0</v>
      </c>
      <c r="L322" s="27"/>
      <c r="M322" s="93">
        <f>K322+L322</f>
        <v>0</v>
      </c>
      <c r="N322" s="93">
        <f t="shared" si="180"/>
        <v>0</v>
      </c>
      <c r="O322" s="70" t="e">
        <f t="shared" si="181"/>
        <v>#DIV/0!</v>
      </c>
      <c r="P322" s="71">
        <f t="shared" si="168"/>
        <v>0</v>
      </c>
      <c r="Q322" s="35">
        <f t="shared" si="169"/>
        <v>0</v>
      </c>
      <c r="R322" s="72">
        <v>1103860</v>
      </c>
      <c r="S322" s="72">
        <f t="shared" si="170"/>
        <v>0</v>
      </c>
      <c r="T322" s="62">
        <f t="shared" si="183"/>
        <v>0</v>
      </c>
    </row>
    <row r="323" spans="1:20" ht="25.5">
      <c r="A323" s="100"/>
      <c r="B323" s="15"/>
      <c r="C323" s="57" t="s">
        <v>43</v>
      </c>
      <c r="D323" s="16"/>
      <c r="E323" s="20"/>
      <c r="F323" s="139" t="s">
        <v>119</v>
      </c>
      <c r="G323" s="59">
        <f t="shared" ref="G323:N323" si="190">G324</f>
        <v>56947</v>
      </c>
      <c r="H323" s="59">
        <f t="shared" si="190"/>
        <v>37807.5</v>
      </c>
      <c r="I323" s="59">
        <f t="shared" si="190"/>
        <v>32339.1</v>
      </c>
      <c r="J323" s="29">
        <f t="shared" si="190"/>
        <v>37664.941879999998</v>
      </c>
      <c r="K323" s="29">
        <f t="shared" si="190"/>
        <v>27353.25721</v>
      </c>
      <c r="L323" s="29">
        <f t="shared" si="190"/>
        <v>4985.8127899999999</v>
      </c>
      <c r="M323" s="29">
        <f t="shared" si="190"/>
        <v>32339.07</v>
      </c>
      <c r="N323" s="29">
        <f t="shared" si="190"/>
        <v>2.9999999999972715E-2</v>
      </c>
      <c r="O323" s="70">
        <f t="shared" si="181"/>
        <v>99.999907233039892</v>
      </c>
      <c r="P323" s="71">
        <f t="shared" si="168"/>
        <v>5325.8718799999988</v>
      </c>
      <c r="Q323" s="35">
        <f t="shared" si="169"/>
        <v>142.55812000000151</v>
      </c>
      <c r="R323" s="72">
        <v>1103861</v>
      </c>
      <c r="S323" s="72">
        <f t="shared" si="170"/>
        <v>24607.93</v>
      </c>
    </row>
    <row r="324" spans="1:20">
      <c r="A324" s="9"/>
      <c r="B324" s="12"/>
      <c r="C324" s="12"/>
      <c r="D324" s="11" t="s">
        <v>7</v>
      </c>
      <c r="E324" s="97"/>
      <c r="F324" s="122" t="s">
        <v>85</v>
      </c>
      <c r="G324" s="30">
        <f>G325+G326+G327</f>
        <v>56947</v>
      </c>
      <c r="H324" s="30">
        <f t="shared" ref="H324:N324" si="191">H325+H326+H327</f>
        <v>37807.5</v>
      </c>
      <c r="I324" s="30">
        <f t="shared" si="191"/>
        <v>32339.1</v>
      </c>
      <c r="J324" s="32">
        <f t="shared" si="191"/>
        <v>37664.941879999998</v>
      </c>
      <c r="K324" s="32">
        <f t="shared" si="191"/>
        <v>27353.25721</v>
      </c>
      <c r="L324" s="32">
        <f t="shared" si="191"/>
        <v>4985.8127899999999</v>
      </c>
      <c r="M324" s="32">
        <f t="shared" si="191"/>
        <v>32339.07</v>
      </c>
      <c r="N324" s="32">
        <f t="shared" si="191"/>
        <v>2.9999999999972715E-2</v>
      </c>
      <c r="O324" s="70">
        <f>M324/I324*100</f>
        <v>99.999907233039892</v>
      </c>
      <c r="P324" s="71">
        <f t="shared" si="168"/>
        <v>5325.8718799999988</v>
      </c>
      <c r="Q324" s="35">
        <f t="shared" si="169"/>
        <v>142.55812000000151</v>
      </c>
      <c r="R324" s="72">
        <v>1103862</v>
      </c>
      <c r="S324" s="72">
        <f t="shared" si="170"/>
        <v>24607.93</v>
      </c>
      <c r="T324" s="62">
        <f>G324-J324</f>
        <v>19282.058120000002</v>
      </c>
    </row>
    <row r="325" spans="1:20" ht="25.5">
      <c r="A325" s="9"/>
      <c r="B325" s="13"/>
      <c r="C325" s="13"/>
      <c r="D325" s="14"/>
      <c r="E325" s="20">
        <v>414</v>
      </c>
      <c r="F325" s="50" t="s">
        <v>105</v>
      </c>
      <c r="G325" s="37">
        <f>56947-849</f>
        <v>56098</v>
      </c>
      <c r="H325" s="37">
        <v>36958.5</v>
      </c>
      <c r="I325" s="37">
        <v>31490.1</v>
      </c>
      <c r="J325" s="75">
        <v>36815.971879999997</v>
      </c>
      <c r="K325" s="35">
        <f>'1.08'!M321</f>
        <v>26504.287209999999</v>
      </c>
      <c r="L325" s="35">
        <v>4985.8127899999999</v>
      </c>
      <c r="M325" s="93">
        <f>K325+L325</f>
        <v>31490.1</v>
      </c>
      <c r="N325" s="93">
        <f t="shared" ref="N325:N327" si="192">I325-M325</f>
        <v>0</v>
      </c>
      <c r="O325" s="70">
        <f t="shared" si="181"/>
        <v>100</v>
      </c>
      <c r="P325" s="71">
        <f t="shared" si="168"/>
        <v>5325.8718799999988</v>
      </c>
      <c r="Q325" s="35">
        <f t="shared" si="169"/>
        <v>142.52812000000267</v>
      </c>
      <c r="R325" s="72">
        <v>1103864</v>
      </c>
      <c r="S325" s="72">
        <f t="shared" si="170"/>
        <v>24607.9</v>
      </c>
    </row>
    <row r="326" spans="1:20">
      <c r="A326" s="9"/>
      <c r="B326" s="13"/>
      <c r="C326" s="13"/>
      <c r="D326" s="14"/>
      <c r="E326" s="20">
        <v>419</v>
      </c>
      <c r="F326" s="86" t="s">
        <v>153</v>
      </c>
      <c r="G326" s="37">
        <v>849</v>
      </c>
      <c r="H326" s="37">
        <v>849</v>
      </c>
      <c r="I326" s="37">
        <v>849</v>
      </c>
      <c r="J326" s="75">
        <v>848.97</v>
      </c>
      <c r="K326" s="35">
        <f>'1.08'!M322</f>
        <v>848.97</v>
      </c>
      <c r="L326" s="75"/>
      <c r="M326" s="93">
        <f>K326+L326</f>
        <v>848.97</v>
      </c>
      <c r="N326" s="93">
        <f t="shared" si="192"/>
        <v>2.9999999999972715E-2</v>
      </c>
      <c r="O326" s="70">
        <f t="shared" si="181"/>
        <v>99.996466431095413</v>
      </c>
      <c r="P326" s="71">
        <f t="shared" si="168"/>
        <v>0</v>
      </c>
      <c r="Q326" s="35">
        <f t="shared" si="169"/>
        <v>2.9999999999972715E-2</v>
      </c>
      <c r="R326" s="72">
        <v>1103864</v>
      </c>
      <c r="S326" s="72">
        <f t="shared" si="170"/>
        <v>2.9999999999972715E-2</v>
      </c>
    </row>
    <row r="327" spans="1:20" ht="25.5" hidden="1">
      <c r="A327" s="100"/>
      <c r="B327" s="15"/>
      <c r="C327" s="15"/>
      <c r="D327" s="16"/>
      <c r="E327" s="20">
        <v>421</v>
      </c>
      <c r="F327" s="3" t="s">
        <v>60</v>
      </c>
      <c r="G327" s="37"/>
      <c r="H327" s="37"/>
      <c r="I327" s="37"/>
      <c r="J327" s="75"/>
      <c r="K327" s="35">
        <f>'1.07. '!M314</f>
        <v>0</v>
      </c>
      <c r="L327" s="35"/>
      <c r="M327" s="92">
        <f t="shared" ref="M327" si="193">K327+L327</f>
        <v>0</v>
      </c>
      <c r="N327" s="93">
        <f t="shared" si="192"/>
        <v>0</v>
      </c>
      <c r="O327" s="70" t="e">
        <f t="shared" si="181"/>
        <v>#DIV/0!</v>
      </c>
      <c r="P327" s="71">
        <f t="shared" si="168"/>
        <v>0</v>
      </c>
      <c r="Q327" s="35">
        <f t="shared" si="169"/>
        <v>0</v>
      </c>
      <c r="R327" s="72">
        <v>1103865</v>
      </c>
      <c r="S327" s="72">
        <f t="shared" si="170"/>
        <v>0</v>
      </c>
    </row>
    <row r="332" spans="1:20">
      <c r="F332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368"/>
  <sheetViews>
    <sheetView tabSelected="1" view="pageBreakPreview" zoomScaleSheetLayoutView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19" sqref="F19"/>
    </sheetView>
  </sheetViews>
  <sheetFormatPr defaultRowHeight="12.75"/>
  <cols>
    <col min="1" max="1" width="4.7109375" style="6" customWidth="1"/>
    <col min="2" max="2" width="4.42578125" style="6" customWidth="1"/>
    <col min="3" max="3" width="4.140625" style="6" customWidth="1"/>
    <col min="4" max="4" width="4.5703125" style="6" customWidth="1"/>
    <col min="5" max="5" width="4.85546875" style="6" customWidth="1"/>
    <col min="6" max="6" width="63.7109375" style="62" customWidth="1"/>
    <col min="7" max="7" width="13.85546875" style="62" customWidth="1"/>
    <col min="8" max="8" width="13.42578125" style="62" customWidth="1"/>
    <col min="9" max="9" width="14.28515625" style="62" customWidth="1"/>
    <col min="10" max="10" width="16.28515625" style="62" customWidth="1"/>
    <col min="11" max="11" width="15.42578125" style="62" bestFit="1" customWidth="1"/>
    <col min="12" max="12" width="15.28515625" style="62" bestFit="1" customWidth="1"/>
    <col min="13" max="13" width="15.85546875" style="63" customWidth="1"/>
    <col min="14" max="14" width="12.140625" style="62" customWidth="1"/>
    <col min="15" max="15" width="7.140625" style="64" customWidth="1"/>
    <col min="16" max="16" width="14.140625" style="62" customWidth="1"/>
    <col min="17" max="17" width="17.140625" style="62" customWidth="1"/>
    <col min="18" max="18" width="14.5703125" style="65" hidden="1" customWidth="1"/>
    <col min="19" max="19" width="18.140625" style="65" bestFit="1" customWidth="1"/>
    <col min="20" max="20" width="10.5703125" style="62" bestFit="1" customWidth="1"/>
    <col min="21" max="217" width="9.140625" style="62"/>
    <col min="218" max="218" width="7.7109375" style="62" customWidth="1"/>
    <col min="219" max="219" width="7" style="62" customWidth="1"/>
    <col min="220" max="220" width="5" style="62" customWidth="1"/>
    <col min="221" max="221" width="6.42578125" style="62" customWidth="1"/>
    <col min="222" max="222" width="5.5703125" style="62" customWidth="1"/>
    <col min="223" max="223" width="34.85546875" style="62" customWidth="1"/>
    <col min="224" max="224" width="9.42578125" style="62" customWidth="1"/>
    <col min="225" max="225" width="7.5703125" style="62" customWidth="1"/>
    <col min="226" max="226" width="8.85546875" style="62" customWidth="1"/>
    <col min="227" max="227" width="10.42578125" style="62" customWidth="1"/>
    <col min="228" max="228" width="9.28515625" style="62" customWidth="1"/>
    <col min="229" max="229" width="8.42578125" style="62" customWidth="1"/>
    <col min="230" max="230" width="8.28515625" style="62" customWidth="1"/>
    <col min="231" max="231" width="8.42578125" style="62" customWidth="1"/>
    <col min="232" max="232" width="9.140625" style="62" customWidth="1"/>
    <col min="233" max="233" width="7.85546875" style="62" customWidth="1"/>
    <col min="234" max="234" width="9" style="62" customWidth="1"/>
    <col min="235" max="235" width="9.28515625" style="62" customWidth="1"/>
    <col min="236" max="236" width="8.5703125" style="62" customWidth="1"/>
    <col min="237" max="473" width="9.140625" style="62"/>
    <col min="474" max="474" width="7.7109375" style="62" customWidth="1"/>
    <col min="475" max="475" width="7" style="62" customWidth="1"/>
    <col min="476" max="476" width="5" style="62" customWidth="1"/>
    <col min="477" max="477" width="6.42578125" style="62" customWidth="1"/>
    <col min="478" max="478" width="5.5703125" style="62" customWidth="1"/>
    <col min="479" max="479" width="34.85546875" style="62" customWidth="1"/>
    <col min="480" max="480" width="9.42578125" style="62" customWidth="1"/>
    <col min="481" max="481" width="7.5703125" style="62" customWidth="1"/>
    <col min="482" max="482" width="8.85546875" style="62" customWidth="1"/>
    <col min="483" max="483" width="10.42578125" style="62" customWidth="1"/>
    <col min="484" max="484" width="9.28515625" style="62" customWidth="1"/>
    <col min="485" max="485" width="8.42578125" style="62" customWidth="1"/>
    <col min="486" max="486" width="8.28515625" style="62" customWidth="1"/>
    <col min="487" max="487" width="8.42578125" style="62" customWidth="1"/>
    <col min="488" max="488" width="9.140625" style="62" customWidth="1"/>
    <col min="489" max="489" width="7.85546875" style="62" customWidth="1"/>
    <col min="490" max="490" width="9" style="62" customWidth="1"/>
    <col min="491" max="491" width="9.28515625" style="62" customWidth="1"/>
    <col min="492" max="492" width="8.5703125" style="62" customWidth="1"/>
    <col min="493" max="729" width="9.140625" style="62"/>
    <col min="730" max="730" width="7.7109375" style="62" customWidth="1"/>
    <col min="731" max="731" width="7" style="62" customWidth="1"/>
    <col min="732" max="732" width="5" style="62" customWidth="1"/>
    <col min="733" max="733" width="6.42578125" style="62" customWidth="1"/>
    <col min="734" max="734" width="5.5703125" style="62" customWidth="1"/>
    <col min="735" max="735" width="34.85546875" style="62" customWidth="1"/>
    <col min="736" max="736" width="9.42578125" style="62" customWidth="1"/>
    <col min="737" max="737" width="7.5703125" style="62" customWidth="1"/>
    <col min="738" max="738" width="8.85546875" style="62" customWidth="1"/>
    <col min="739" max="739" width="10.42578125" style="62" customWidth="1"/>
    <col min="740" max="740" width="9.28515625" style="62" customWidth="1"/>
    <col min="741" max="741" width="8.42578125" style="62" customWidth="1"/>
    <col min="742" max="742" width="8.28515625" style="62" customWidth="1"/>
    <col min="743" max="743" width="8.42578125" style="62" customWidth="1"/>
    <col min="744" max="744" width="9.140625" style="62" customWidth="1"/>
    <col min="745" max="745" width="7.85546875" style="62" customWidth="1"/>
    <col min="746" max="746" width="9" style="62" customWidth="1"/>
    <col min="747" max="747" width="9.28515625" style="62" customWidth="1"/>
    <col min="748" max="748" width="8.5703125" style="62" customWidth="1"/>
    <col min="749" max="985" width="9.140625" style="62"/>
    <col min="986" max="986" width="7.7109375" style="62" customWidth="1"/>
    <col min="987" max="987" width="7" style="62" customWidth="1"/>
    <col min="988" max="988" width="5" style="62" customWidth="1"/>
    <col min="989" max="989" width="6.42578125" style="62" customWidth="1"/>
    <col min="990" max="990" width="5.5703125" style="62" customWidth="1"/>
    <col min="991" max="991" width="34.85546875" style="62" customWidth="1"/>
    <col min="992" max="992" width="9.42578125" style="62" customWidth="1"/>
    <col min="993" max="993" width="7.5703125" style="62" customWidth="1"/>
    <col min="994" max="994" width="8.85546875" style="62" customWidth="1"/>
    <col min="995" max="995" width="10.42578125" style="62" customWidth="1"/>
    <col min="996" max="996" width="9.28515625" style="62" customWidth="1"/>
    <col min="997" max="997" width="8.42578125" style="62" customWidth="1"/>
    <col min="998" max="998" width="8.28515625" style="62" customWidth="1"/>
    <col min="999" max="999" width="8.42578125" style="62" customWidth="1"/>
    <col min="1000" max="1000" width="9.140625" style="62" customWidth="1"/>
    <col min="1001" max="1001" width="7.85546875" style="62" customWidth="1"/>
    <col min="1002" max="1002" width="9" style="62" customWidth="1"/>
    <col min="1003" max="1003" width="9.28515625" style="62" customWidth="1"/>
    <col min="1004" max="1004" width="8.5703125" style="62" customWidth="1"/>
    <col min="1005" max="1241" width="9.140625" style="62"/>
    <col min="1242" max="1242" width="7.7109375" style="62" customWidth="1"/>
    <col min="1243" max="1243" width="7" style="62" customWidth="1"/>
    <col min="1244" max="1244" width="5" style="62" customWidth="1"/>
    <col min="1245" max="1245" width="6.42578125" style="62" customWidth="1"/>
    <col min="1246" max="1246" width="5.5703125" style="62" customWidth="1"/>
    <col min="1247" max="1247" width="34.85546875" style="62" customWidth="1"/>
    <col min="1248" max="1248" width="9.42578125" style="62" customWidth="1"/>
    <col min="1249" max="1249" width="7.5703125" style="62" customWidth="1"/>
    <col min="1250" max="1250" width="8.85546875" style="62" customWidth="1"/>
    <col min="1251" max="1251" width="10.42578125" style="62" customWidth="1"/>
    <col min="1252" max="1252" width="9.28515625" style="62" customWidth="1"/>
    <col min="1253" max="1253" width="8.42578125" style="62" customWidth="1"/>
    <col min="1254" max="1254" width="8.28515625" style="62" customWidth="1"/>
    <col min="1255" max="1255" width="8.42578125" style="62" customWidth="1"/>
    <col min="1256" max="1256" width="9.140625" style="62" customWidth="1"/>
    <col min="1257" max="1257" width="7.85546875" style="62" customWidth="1"/>
    <col min="1258" max="1258" width="9" style="62" customWidth="1"/>
    <col min="1259" max="1259" width="9.28515625" style="62" customWidth="1"/>
    <col min="1260" max="1260" width="8.5703125" style="62" customWidth="1"/>
    <col min="1261" max="1497" width="9.140625" style="62"/>
    <col min="1498" max="1498" width="7.7109375" style="62" customWidth="1"/>
    <col min="1499" max="1499" width="7" style="62" customWidth="1"/>
    <col min="1500" max="1500" width="5" style="62" customWidth="1"/>
    <col min="1501" max="1501" width="6.42578125" style="62" customWidth="1"/>
    <col min="1502" max="1502" width="5.5703125" style="62" customWidth="1"/>
    <col min="1503" max="1503" width="34.85546875" style="62" customWidth="1"/>
    <col min="1504" max="1504" width="9.42578125" style="62" customWidth="1"/>
    <col min="1505" max="1505" width="7.5703125" style="62" customWidth="1"/>
    <col min="1506" max="1506" width="8.85546875" style="62" customWidth="1"/>
    <col min="1507" max="1507" width="10.42578125" style="62" customWidth="1"/>
    <col min="1508" max="1508" width="9.28515625" style="62" customWidth="1"/>
    <col min="1509" max="1509" width="8.42578125" style="62" customWidth="1"/>
    <col min="1510" max="1510" width="8.28515625" style="62" customWidth="1"/>
    <col min="1511" max="1511" width="8.42578125" style="62" customWidth="1"/>
    <col min="1512" max="1512" width="9.140625" style="62" customWidth="1"/>
    <col min="1513" max="1513" width="7.85546875" style="62" customWidth="1"/>
    <col min="1514" max="1514" width="9" style="62" customWidth="1"/>
    <col min="1515" max="1515" width="9.28515625" style="62" customWidth="1"/>
    <col min="1516" max="1516" width="8.5703125" style="62" customWidth="1"/>
    <col min="1517" max="1753" width="9.140625" style="62"/>
    <col min="1754" max="1754" width="7.7109375" style="62" customWidth="1"/>
    <col min="1755" max="1755" width="7" style="62" customWidth="1"/>
    <col min="1756" max="1756" width="5" style="62" customWidth="1"/>
    <col min="1757" max="1757" width="6.42578125" style="62" customWidth="1"/>
    <col min="1758" max="1758" width="5.5703125" style="62" customWidth="1"/>
    <col min="1759" max="1759" width="34.85546875" style="62" customWidth="1"/>
    <col min="1760" max="1760" width="9.42578125" style="62" customWidth="1"/>
    <col min="1761" max="1761" width="7.5703125" style="62" customWidth="1"/>
    <col min="1762" max="1762" width="8.85546875" style="62" customWidth="1"/>
    <col min="1763" max="1763" width="10.42578125" style="62" customWidth="1"/>
    <col min="1764" max="1764" width="9.28515625" style="62" customWidth="1"/>
    <col min="1765" max="1765" width="8.42578125" style="62" customWidth="1"/>
    <col min="1766" max="1766" width="8.28515625" style="62" customWidth="1"/>
    <col min="1767" max="1767" width="8.42578125" style="62" customWidth="1"/>
    <col min="1768" max="1768" width="9.140625" style="62" customWidth="1"/>
    <col min="1769" max="1769" width="7.85546875" style="62" customWidth="1"/>
    <col min="1770" max="1770" width="9" style="62" customWidth="1"/>
    <col min="1771" max="1771" width="9.28515625" style="62" customWidth="1"/>
    <col min="1772" max="1772" width="8.5703125" style="62" customWidth="1"/>
    <col min="1773" max="2009" width="9.140625" style="62"/>
    <col min="2010" max="2010" width="7.7109375" style="62" customWidth="1"/>
    <col min="2011" max="2011" width="7" style="62" customWidth="1"/>
    <col min="2012" max="2012" width="5" style="62" customWidth="1"/>
    <col min="2013" max="2013" width="6.42578125" style="62" customWidth="1"/>
    <col min="2014" max="2014" width="5.5703125" style="62" customWidth="1"/>
    <col min="2015" max="2015" width="34.85546875" style="62" customWidth="1"/>
    <col min="2016" max="2016" width="9.42578125" style="62" customWidth="1"/>
    <col min="2017" max="2017" width="7.5703125" style="62" customWidth="1"/>
    <col min="2018" max="2018" width="8.85546875" style="62" customWidth="1"/>
    <col min="2019" max="2019" width="10.42578125" style="62" customWidth="1"/>
    <col min="2020" max="2020" width="9.28515625" style="62" customWidth="1"/>
    <col min="2021" max="2021" width="8.42578125" style="62" customWidth="1"/>
    <col min="2022" max="2022" width="8.28515625" style="62" customWidth="1"/>
    <col min="2023" max="2023" width="8.42578125" style="62" customWidth="1"/>
    <col min="2024" max="2024" width="9.140625" style="62" customWidth="1"/>
    <col min="2025" max="2025" width="7.85546875" style="62" customWidth="1"/>
    <col min="2026" max="2026" width="9" style="62" customWidth="1"/>
    <col min="2027" max="2027" width="9.28515625" style="62" customWidth="1"/>
    <col min="2028" max="2028" width="8.5703125" style="62" customWidth="1"/>
    <col min="2029" max="2265" width="9.140625" style="62"/>
    <col min="2266" max="2266" width="7.7109375" style="62" customWidth="1"/>
    <col min="2267" max="2267" width="7" style="62" customWidth="1"/>
    <col min="2268" max="2268" width="5" style="62" customWidth="1"/>
    <col min="2269" max="2269" width="6.42578125" style="62" customWidth="1"/>
    <col min="2270" max="2270" width="5.5703125" style="62" customWidth="1"/>
    <col min="2271" max="2271" width="34.85546875" style="62" customWidth="1"/>
    <col min="2272" max="2272" width="9.42578125" style="62" customWidth="1"/>
    <col min="2273" max="2273" width="7.5703125" style="62" customWidth="1"/>
    <col min="2274" max="2274" width="8.85546875" style="62" customWidth="1"/>
    <col min="2275" max="2275" width="10.42578125" style="62" customWidth="1"/>
    <col min="2276" max="2276" width="9.28515625" style="62" customWidth="1"/>
    <col min="2277" max="2277" width="8.42578125" style="62" customWidth="1"/>
    <col min="2278" max="2278" width="8.28515625" style="62" customWidth="1"/>
    <col min="2279" max="2279" width="8.42578125" style="62" customWidth="1"/>
    <col min="2280" max="2280" width="9.140625" style="62" customWidth="1"/>
    <col min="2281" max="2281" width="7.85546875" style="62" customWidth="1"/>
    <col min="2282" max="2282" width="9" style="62" customWidth="1"/>
    <col min="2283" max="2283" width="9.28515625" style="62" customWidth="1"/>
    <col min="2284" max="2284" width="8.5703125" style="62" customWidth="1"/>
    <col min="2285" max="2521" width="9.140625" style="62"/>
    <col min="2522" max="2522" width="7.7109375" style="62" customWidth="1"/>
    <col min="2523" max="2523" width="7" style="62" customWidth="1"/>
    <col min="2524" max="2524" width="5" style="62" customWidth="1"/>
    <col min="2525" max="2525" width="6.42578125" style="62" customWidth="1"/>
    <col min="2526" max="2526" width="5.5703125" style="62" customWidth="1"/>
    <col min="2527" max="2527" width="34.85546875" style="62" customWidth="1"/>
    <col min="2528" max="2528" width="9.42578125" style="62" customWidth="1"/>
    <col min="2529" max="2529" width="7.5703125" style="62" customWidth="1"/>
    <col min="2530" max="2530" width="8.85546875" style="62" customWidth="1"/>
    <col min="2531" max="2531" width="10.42578125" style="62" customWidth="1"/>
    <col min="2532" max="2532" width="9.28515625" style="62" customWidth="1"/>
    <col min="2533" max="2533" width="8.42578125" style="62" customWidth="1"/>
    <col min="2534" max="2534" width="8.28515625" style="62" customWidth="1"/>
    <col min="2535" max="2535" width="8.42578125" style="62" customWidth="1"/>
    <col min="2536" max="2536" width="9.140625" style="62" customWidth="1"/>
    <col min="2537" max="2537" width="7.85546875" style="62" customWidth="1"/>
    <col min="2538" max="2538" width="9" style="62" customWidth="1"/>
    <col min="2539" max="2539" width="9.28515625" style="62" customWidth="1"/>
    <col min="2540" max="2540" width="8.5703125" style="62" customWidth="1"/>
    <col min="2541" max="2777" width="9.140625" style="62"/>
    <col min="2778" max="2778" width="7.7109375" style="62" customWidth="1"/>
    <col min="2779" max="2779" width="7" style="62" customWidth="1"/>
    <col min="2780" max="2780" width="5" style="62" customWidth="1"/>
    <col min="2781" max="2781" width="6.42578125" style="62" customWidth="1"/>
    <col min="2782" max="2782" width="5.5703125" style="62" customWidth="1"/>
    <col min="2783" max="2783" width="34.85546875" style="62" customWidth="1"/>
    <col min="2784" max="2784" width="9.42578125" style="62" customWidth="1"/>
    <col min="2785" max="2785" width="7.5703125" style="62" customWidth="1"/>
    <col min="2786" max="2786" width="8.85546875" style="62" customWidth="1"/>
    <col min="2787" max="2787" width="10.42578125" style="62" customWidth="1"/>
    <col min="2788" max="2788" width="9.28515625" style="62" customWidth="1"/>
    <col min="2789" max="2789" width="8.42578125" style="62" customWidth="1"/>
    <col min="2790" max="2790" width="8.28515625" style="62" customWidth="1"/>
    <col min="2791" max="2791" width="8.42578125" style="62" customWidth="1"/>
    <col min="2792" max="2792" width="9.140625" style="62" customWidth="1"/>
    <col min="2793" max="2793" width="7.85546875" style="62" customWidth="1"/>
    <col min="2794" max="2794" width="9" style="62" customWidth="1"/>
    <col min="2795" max="2795" width="9.28515625" style="62" customWidth="1"/>
    <col min="2796" max="2796" width="8.5703125" style="62" customWidth="1"/>
    <col min="2797" max="3033" width="9.140625" style="62"/>
    <col min="3034" max="3034" width="7.7109375" style="62" customWidth="1"/>
    <col min="3035" max="3035" width="7" style="62" customWidth="1"/>
    <col min="3036" max="3036" width="5" style="62" customWidth="1"/>
    <col min="3037" max="3037" width="6.42578125" style="62" customWidth="1"/>
    <col min="3038" max="3038" width="5.5703125" style="62" customWidth="1"/>
    <col min="3039" max="3039" width="34.85546875" style="62" customWidth="1"/>
    <col min="3040" max="3040" width="9.42578125" style="62" customWidth="1"/>
    <col min="3041" max="3041" width="7.5703125" style="62" customWidth="1"/>
    <col min="3042" max="3042" width="8.85546875" style="62" customWidth="1"/>
    <col min="3043" max="3043" width="10.42578125" style="62" customWidth="1"/>
    <col min="3044" max="3044" width="9.28515625" style="62" customWidth="1"/>
    <col min="3045" max="3045" width="8.42578125" style="62" customWidth="1"/>
    <col min="3046" max="3046" width="8.28515625" style="62" customWidth="1"/>
    <col min="3047" max="3047" width="8.42578125" style="62" customWidth="1"/>
    <col min="3048" max="3048" width="9.140625" style="62" customWidth="1"/>
    <col min="3049" max="3049" width="7.85546875" style="62" customWidth="1"/>
    <col min="3050" max="3050" width="9" style="62" customWidth="1"/>
    <col min="3051" max="3051" width="9.28515625" style="62" customWidth="1"/>
    <col min="3052" max="3052" width="8.5703125" style="62" customWidth="1"/>
    <col min="3053" max="3289" width="9.140625" style="62"/>
    <col min="3290" max="3290" width="7.7109375" style="62" customWidth="1"/>
    <col min="3291" max="3291" width="7" style="62" customWidth="1"/>
    <col min="3292" max="3292" width="5" style="62" customWidth="1"/>
    <col min="3293" max="3293" width="6.42578125" style="62" customWidth="1"/>
    <col min="3294" max="3294" width="5.5703125" style="62" customWidth="1"/>
    <col min="3295" max="3295" width="34.85546875" style="62" customWidth="1"/>
    <col min="3296" max="3296" width="9.42578125" style="62" customWidth="1"/>
    <col min="3297" max="3297" width="7.5703125" style="62" customWidth="1"/>
    <col min="3298" max="3298" width="8.85546875" style="62" customWidth="1"/>
    <col min="3299" max="3299" width="10.42578125" style="62" customWidth="1"/>
    <col min="3300" max="3300" width="9.28515625" style="62" customWidth="1"/>
    <col min="3301" max="3301" width="8.42578125" style="62" customWidth="1"/>
    <col min="3302" max="3302" width="8.28515625" style="62" customWidth="1"/>
    <col min="3303" max="3303" width="8.42578125" style="62" customWidth="1"/>
    <col min="3304" max="3304" width="9.140625" style="62" customWidth="1"/>
    <col min="3305" max="3305" width="7.85546875" style="62" customWidth="1"/>
    <col min="3306" max="3306" width="9" style="62" customWidth="1"/>
    <col min="3307" max="3307" width="9.28515625" style="62" customWidth="1"/>
    <col min="3308" max="3308" width="8.5703125" style="62" customWidth="1"/>
    <col min="3309" max="3545" width="9.140625" style="62"/>
    <col min="3546" max="3546" width="7.7109375" style="62" customWidth="1"/>
    <col min="3547" max="3547" width="7" style="62" customWidth="1"/>
    <col min="3548" max="3548" width="5" style="62" customWidth="1"/>
    <col min="3549" max="3549" width="6.42578125" style="62" customWidth="1"/>
    <col min="3550" max="3550" width="5.5703125" style="62" customWidth="1"/>
    <col min="3551" max="3551" width="34.85546875" style="62" customWidth="1"/>
    <col min="3552" max="3552" width="9.42578125" style="62" customWidth="1"/>
    <col min="3553" max="3553" width="7.5703125" style="62" customWidth="1"/>
    <col min="3554" max="3554" width="8.85546875" style="62" customWidth="1"/>
    <col min="3555" max="3555" width="10.42578125" style="62" customWidth="1"/>
    <col min="3556" max="3556" width="9.28515625" style="62" customWidth="1"/>
    <col min="3557" max="3557" width="8.42578125" style="62" customWidth="1"/>
    <col min="3558" max="3558" width="8.28515625" style="62" customWidth="1"/>
    <col min="3559" max="3559" width="8.42578125" style="62" customWidth="1"/>
    <col min="3560" max="3560" width="9.140625" style="62" customWidth="1"/>
    <col min="3561" max="3561" width="7.85546875" style="62" customWidth="1"/>
    <col min="3562" max="3562" width="9" style="62" customWidth="1"/>
    <col min="3563" max="3563" width="9.28515625" style="62" customWidth="1"/>
    <col min="3564" max="3564" width="8.5703125" style="62" customWidth="1"/>
    <col min="3565" max="3801" width="9.140625" style="62"/>
    <col min="3802" max="3802" width="7.7109375" style="62" customWidth="1"/>
    <col min="3803" max="3803" width="7" style="62" customWidth="1"/>
    <col min="3804" max="3804" width="5" style="62" customWidth="1"/>
    <col min="3805" max="3805" width="6.42578125" style="62" customWidth="1"/>
    <col min="3806" max="3806" width="5.5703125" style="62" customWidth="1"/>
    <col min="3807" max="3807" width="34.85546875" style="62" customWidth="1"/>
    <col min="3808" max="3808" width="9.42578125" style="62" customWidth="1"/>
    <col min="3809" max="3809" width="7.5703125" style="62" customWidth="1"/>
    <col min="3810" max="3810" width="8.85546875" style="62" customWidth="1"/>
    <col min="3811" max="3811" width="10.42578125" style="62" customWidth="1"/>
    <col min="3812" max="3812" width="9.28515625" style="62" customWidth="1"/>
    <col min="3813" max="3813" width="8.42578125" style="62" customWidth="1"/>
    <col min="3814" max="3814" width="8.28515625" style="62" customWidth="1"/>
    <col min="3815" max="3815" width="8.42578125" style="62" customWidth="1"/>
    <col min="3816" max="3816" width="9.140625" style="62" customWidth="1"/>
    <col min="3817" max="3817" width="7.85546875" style="62" customWidth="1"/>
    <col min="3818" max="3818" width="9" style="62" customWidth="1"/>
    <col min="3819" max="3819" width="9.28515625" style="62" customWidth="1"/>
    <col min="3820" max="3820" width="8.5703125" style="62" customWidth="1"/>
    <col min="3821" max="4057" width="9.140625" style="62"/>
    <col min="4058" max="4058" width="7.7109375" style="62" customWidth="1"/>
    <col min="4059" max="4059" width="7" style="62" customWidth="1"/>
    <col min="4060" max="4060" width="5" style="62" customWidth="1"/>
    <col min="4061" max="4061" width="6.42578125" style="62" customWidth="1"/>
    <col min="4062" max="4062" width="5.5703125" style="62" customWidth="1"/>
    <col min="4063" max="4063" width="34.85546875" style="62" customWidth="1"/>
    <col min="4064" max="4064" width="9.42578125" style="62" customWidth="1"/>
    <col min="4065" max="4065" width="7.5703125" style="62" customWidth="1"/>
    <col min="4066" max="4066" width="8.85546875" style="62" customWidth="1"/>
    <col min="4067" max="4067" width="10.42578125" style="62" customWidth="1"/>
    <col min="4068" max="4068" width="9.28515625" style="62" customWidth="1"/>
    <col min="4069" max="4069" width="8.42578125" style="62" customWidth="1"/>
    <col min="4070" max="4070" width="8.28515625" style="62" customWidth="1"/>
    <col min="4071" max="4071" width="8.42578125" style="62" customWidth="1"/>
    <col min="4072" max="4072" width="9.140625" style="62" customWidth="1"/>
    <col min="4073" max="4073" width="7.85546875" style="62" customWidth="1"/>
    <col min="4074" max="4074" width="9" style="62" customWidth="1"/>
    <col min="4075" max="4075" width="9.28515625" style="62" customWidth="1"/>
    <col min="4076" max="4076" width="8.5703125" style="62" customWidth="1"/>
    <col min="4077" max="4313" width="9.140625" style="62"/>
    <col min="4314" max="4314" width="7.7109375" style="62" customWidth="1"/>
    <col min="4315" max="4315" width="7" style="62" customWidth="1"/>
    <col min="4316" max="4316" width="5" style="62" customWidth="1"/>
    <col min="4317" max="4317" width="6.42578125" style="62" customWidth="1"/>
    <col min="4318" max="4318" width="5.5703125" style="62" customWidth="1"/>
    <col min="4319" max="4319" width="34.85546875" style="62" customWidth="1"/>
    <col min="4320" max="4320" width="9.42578125" style="62" customWidth="1"/>
    <col min="4321" max="4321" width="7.5703125" style="62" customWidth="1"/>
    <col min="4322" max="4322" width="8.85546875" style="62" customWidth="1"/>
    <col min="4323" max="4323" width="10.42578125" style="62" customWidth="1"/>
    <col min="4324" max="4324" width="9.28515625" style="62" customWidth="1"/>
    <col min="4325" max="4325" width="8.42578125" style="62" customWidth="1"/>
    <col min="4326" max="4326" width="8.28515625" style="62" customWidth="1"/>
    <col min="4327" max="4327" width="8.42578125" style="62" customWidth="1"/>
    <col min="4328" max="4328" width="9.140625" style="62" customWidth="1"/>
    <col min="4329" max="4329" width="7.85546875" style="62" customWidth="1"/>
    <col min="4330" max="4330" width="9" style="62" customWidth="1"/>
    <col min="4331" max="4331" width="9.28515625" style="62" customWidth="1"/>
    <col min="4332" max="4332" width="8.5703125" style="62" customWidth="1"/>
    <col min="4333" max="4569" width="9.140625" style="62"/>
    <col min="4570" max="4570" width="7.7109375" style="62" customWidth="1"/>
    <col min="4571" max="4571" width="7" style="62" customWidth="1"/>
    <col min="4572" max="4572" width="5" style="62" customWidth="1"/>
    <col min="4573" max="4573" width="6.42578125" style="62" customWidth="1"/>
    <col min="4574" max="4574" width="5.5703125" style="62" customWidth="1"/>
    <col min="4575" max="4575" width="34.85546875" style="62" customWidth="1"/>
    <col min="4576" max="4576" width="9.42578125" style="62" customWidth="1"/>
    <col min="4577" max="4577" width="7.5703125" style="62" customWidth="1"/>
    <col min="4578" max="4578" width="8.85546875" style="62" customWidth="1"/>
    <col min="4579" max="4579" width="10.42578125" style="62" customWidth="1"/>
    <col min="4580" max="4580" width="9.28515625" style="62" customWidth="1"/>
    <col min="4581" max="4581" width="8.42578125" style="62" customWidth="1"/>
    <col min="4582" max="4582" width="8.28515625" style="62" customWidth="1"/>
    <col min="4583" max="4583" width="8.42578125" style="62" customWidth="1"/>
    <col min="4584" max="4584" width="9.140625" style="62" customWidth="1"/>
    <col min="4585" max="4585" width="7.85546875" style="62" customWidth="1"/>
    <col min="4586" max="4586" width="9" style="62" customWidth="1"/>
    <col min="4587" max="4587" width="9.28515625" style="62" customWidth="1"/>
    <col min="4588" max="4588" width="8.5703125" style="62" customWidth="1"/>
    <col min="4589" max="4825" width="9.140625" style="62"/>
    <col min="4826" max="4826" width="7.7109375" style="62" customWidth="1"/>
    <col min="4827" max="4827" width="7" style="62" customWidth="1"/>
    <col min="4828" max="4828" width="5" style="62" customWidth="1"/>
    <col min="4829" max="4829" width="6.42578125" style="62" customWidth="1"/>
    <col min="4830" max="4830" width="5.5703125" style="62" customWidth="1"/>
    <col min="4831" max="4831" width="34.85546875" style="62" customWidth="1"/>
    <col min="4832" max="4832" width="9.42578125" style="62" customWidth="1"/>
    <col min="4833" max="4833" width="7.5703125" style="62" customWidth="1"/>
    <col min="4834" max="4834" width="8.85546875" style="62" customWidth="1"/>
    <col min="4835" max="4835" width="10.42578125" style="62" customWidth="1"/>
    <col min="4836" max="4836" width="9.28515625" style="62" customWidth="1"/>
    <col min="4837" max="4837" width="8.42578125" style="62" customWidth="1"/>
    <col min="4838" max="4838" width="8.28515625" style="62" customWidth="1"/>
    <col min="4839" max="4839" width="8.42578125" style="62" customWidth="1"/>
    <col min="4840" max="4840" width="9.140625" style="62" customWidth="1"/>
    <col min="4841" max="4841" width="7.85546875" style="62" customWidth="1"/>
    <col min="4842" max="4842" width="9" style="62" customWidth="1"/>
    <col min="4843" max="4843" width="9.28515625" style="62" customWidth="1"/>
    <col min="4844" max="4844" width="8.5703125" style="62" customWidth="1"/>
    <col min="4845" max="5081" width="9.140625" style="62"/>
    <col min="5082" max="5082" width="7.7109375" style="62" customWidth="1"/>
    <col min="5083" max="5083" width="7" style="62" customWidth="1"/>
    <col min="5084" max="5084" width="5" style="62" customWidth="1"/>
    <col min="5085" max="5085" width="6.42578125" style="62" customWidth="1"/>
    <col min="5086" max="5086" width="5.5703125" style="62" customWidth="1"/>
    <col min="5087" max="5087" width="34.85546875" style="62" customWidth="1"/>
    <col min="5088" max="5088" width="9.42578125" style="62" customWidth="1"/>
    <col min="5089" max="5089" width="7.5703125" style="62" customWidth="1"/>
    <col min="5090" max="5090" width="8.85546875" style="62" customWidth="1"/>
    <col min="5091" max="5091" width="10.42578125" style="62" customWidth="1"/>
    <col min="5092" max="5092" width="9.28515625" style="62" customWidth="1"/>
    <col min="5093" max="5093" width="8.42578125" style="62" customWidth="1"/>
    <col min="5094" max="5094" width="8.28515625" style="62" customWidth="1"/>
    <col min="5095" max="5095" width="8.42578125" style="62" customWidth="1"/>
    <col min="5096" max="5096" width="9.140625" style="62" customWidth="1"/>
    <col min="5097" max="5097" width="7.85546875" style="62" customWidth="1"/>
    <col min="5098" max="5098" width="9" style="62" customWidth="1"/>
    <col min="5099" max="5099" width="9.28515625" style="62" customWidth="1"/>
    <col min="5100" max="5100" width="8.5703125" style="62" customWidth="1"/>
    <col min="5101" max="5337" width="9.140625" style="62"/>
    <col min="5338" max="5338" width="7.7109375" style="62" customWidth="1"/>
    <col min="5339" max="5339" width="7" style="62" customWidth="1"/>
    <col min="5340" max="5340" width="5" style="62" customWidth="1"/>
    <col min="5341" max="5341" width="6.42578125" style="62" customWidth="1"/>
    <col min="5342" max="5342" width="5.5703125" style="62" customWidth="1"/>
    <col min="5343" max="5343" width="34.85546875" style="62" customWidth="1"/>
    <col min="5344" max="5344" width="9.42578125" style="62" customWidth="1"/>
    <col min="5345" max="5345" width="7.5703125" style="62" customWidth="1"/>
    <col min="5346" max="5346" width="8.85546875" style="62" customWidth="1"/>
    <col min="5347" max="5347" width="10.42578125" style="62" customWidth="1"/>
    <col min="5348" max="5348" width="9.28515625" style="62" customWidth="1"/>
    <col min="5349" max="5349" width="8.42578125" style="62" customWidth="1"/>
    <col min="5350" max="5350" width="8.28515625" style="62" customWidth="1"/>
    <col min="5351" max="5351" width="8.42578125" style="62" customWidth="1"/>
    <col min="5352" max="5352" width="9.140625" style="62" customWidth="1"/>
    <col min="5353" max="5353" width="7.85546875" style="62" customWidth="1"/>
    <col min="5354" max="5354" width="9" style="62" customWidth="1"/>
    <col min="5355" max="5355" width="9.28515625" style="62" customWidth="1"/>
    <col min="5356" max="5356" width="8.5703125" style="62" customWidth="1"/>
    <col min="5357" max="5593" width="9.140625" style="62"/>
    <col min="5594" max="5594" width="7.7109375" style="62" customWidth="1"/>
    <col min="5595" max="5595" width="7" style="62" customWidth="1"/>
    <col min="5596" max="5596" width="5" style="62" customWidth="1"/>
    <col min="5597" max="5597" width="6.42578125" style="62" customWidth="1"/>
    <col min="5598" max="5598" width="5.5703125" style="62" customWidth="1"/>
    <col min="5599" max="5599" width="34.85546875" style="62" customWidth="1"/>
    <col min="5600" max="5600" width="9.42578125" style="62" customWidth="1"/>
    <col min="5601" max="5601" width="7.5703125" style="62" customWidth="1"/>
    <col min="5602" max="5602" width="8.85546875" style="62" customWidth="1"/>
    <col min="5603" max="5603" width="10.42578125" style="62" customWidth="1"/>
    <col min="5604" max="5604" width="9.28515625" style="62" customWidth="1"/>
    <col min="5605" max="5605" width="8.42578125" style="62" customWidth="1"/>
    <col min="5606" max="5606" width="8.28515625" style="62" customWidth="1"/>
    <col min="5607" max="5607" width="8.42578125" style="62" customWidth="1"/>
    <col min="5608" max="5608" width="9.140625" style="62" customWidth="1"/>
    <col min="5609" max="5609" width="7.85546875" style="62" customWidth="1"/>
    <col min="5610" max="5610" width="9" style="62" customWidth="1"/>
    <col min="5611" max="5611" width="9.28515625" style="62" customWidth="1"/>
    <col min="5612" max="5612" width="8.5703125" style="62" customWidth="1"/>
    <col min="5613" max="5849" width="9.140625" style="62"/>
    <col min="5850" max="5850" width="7.7109375" style="62" customWidth="1"/>
    <col min="5851" max="5851" width="7" style="62" customWidth="1"/>
    <col min="5852" max="5852" width="5" style="62" customWidth="1"/>
    <col min="5853" max="5853" width="6.42578125" style="62" customWidth="1"/>
    <col min="5854" max="5854" width="5.5703125" style="62" customWidth="1"/>
    <col min="5855" max="5855" width="34.85546875" style="62" customWidth="1"/>
    <col min="5856" max="5856" width="9.42578125" style="62" customWidth="1"/>
    <col min="5857" max="5857" width="7.5703125" style="62" customWidth="1"/>
    <col min="5858" max="5858" width="8.85546875" style="62" customWidth="1"/>
    <col min="5859" max="5859" width="10.42578125" style="62" customWidth="1"/>
    <col min="5860" max="5860" width="9.28515625" style="62" customWidth="1"/>
    <col min="5861" max="5861" width="8.42578125" style="62" customWidth="1"/>
    <col min="5862" max="5862" width="8.28515625" style="62" customWidth="1"/>
    <col min="5863" max="5863" width="8.42578125" style="62" customWidth="1"/>
    <col min="5864" max="5864" width="9.140625" style="62" customWidth="1"/>
    <col min="5865" max="5865" width="7.85546875" style="62" customWidth="1"/>
    <col min="5866" max="5866" width="9" style="62" customWidth="1"/>
    <col min="5867" max="5867" width="9.28515625" style="62" customWidth="1"/>
    <col min="5868" max="5868" width="8.5703125" style="62" customWidth="1"/>
    <col min="5869" max="6105" width="9.140625" style="62"/>
    <col min="6106" max="6106" width="7.7109375" style="62" customWidth="1"/>
    <col min="6107" max="6107" width="7" style="62" customWidth="1"/>
    <col min="6108" max="6108" width="5" style="62" customWidth="1"/>
    <col min="6109" max="6109" width="6.42578125" style="62" customWidth="1"/>
    <col min="6110" max="6110" width="5.5703125" style="62" customWidth="1"/>
    <col min="6111" max="6111" width="34.85546875" style="62" customWidth="1"/>
    <col min="6112" max="6112" width="9.42578125" style="62" customWidth="1"/>
    <col min="6113" max="6113" width="7.5703125" style="62" customWidth="1"/>
    <col min="6114" max="6114" width="8.85546875" style="62" customWidth="1"/>
    <col min="6115" max="6115" width="10.42578125" style="62" customWidth="1"/>
    <col min="6116" max="6116" width="9.28515625" style="62" customWidth="1"/>
    <col min="6117" max="6117" width="8.42578125" style="62" customWidth="1"/>
    <col min="6118" max="6118" width="8.28515625" style="62" customWidth="1"/>
    <col min="6119" max="6119" width="8.42578125" style="62" customWidth="1"/>
    <col min="6120" max="6120" width="9.140625" style="62" customWidth="1"/>
    <col min="6121" max="6121" width="7.85546875" style="62" customWidth="1"/>
    <col min="6122" max="6122" width="9" style="62" customWidth="1"/>
    <col min="6123" max="6123" width="9.28515625" style="62" customWidth="1"/>
    <col min="6124" max="6124" width="8.5703125" style="62" customWidth="1"/>
    <col min="6125" max="6361" width="9.140625" style="62"/>
    <col min="6362" max="6362" width="7.7109375" style="62" customWidth="1"/>
    <col min="6363" max="6363" width="7" style="62" customWidth="1"/>
    <col min="6364" max="6364" width="5" style="62" customWidth="1"/>
    <col min="6365" max="6365" width="6.42578125" style="62" customWidth="1"/>
    <col min="6366" max="6366" width="5.5703125" style="62" customWidth="1"/>
    <col min="6367" max="6367" width="34.85546875" style="62" customWidth="1"/>
    <col min="6368" max="6368" width="9.42578125" style="62" customWidth="1"/>
    <col min="6369" max="6369" width="7.5703125" style="62" customWidth="1"/>
    <col min="6370" max="6370" width="8.85546875" style="62" customWidth="1"/>
    <col min="6371" max="6371" width="10.42578125" style="62" customWidth="1"/>
    <col min="6372" max="6372" width="9.28515625" style="62" customWidth="1"/>
    <col min="6373" max="6373" width="8.42578125" style="62" customWidth="1"/>
    <col min="6374" max="6374" width="8.28515625" style="62" customWidth="1"/>
    <col min="6375" max="6375" width="8.42578125" style="62" customWidth="1"/>
    <col min="6376" max="6376" width="9.140625" style="62" customWidth="1"/>
    <col min="6377" max="6377" width="7.85546875" style="62" customWidth="1"/>
    <col min="6378" max="6378" width="9" style="62" customWidth="1"/>
    <col min="6379" max="6379" width="9.28515625" style="62" customWidth="1"/>
    <col min="6380" max="6380" width="8.5703125" style="62" customWidth="1"/>
    <col min="6381" max="6617" width="9.140625" style="62"/>
    <col min="6618" max="6618" width="7.7109375" style="62" customWidth="1"/>
    <col min="6619" max="6619" width="7" style="62" customWidth="1"/>
    <col min="6620" max="6620" width="5" style="62" customWidth="1"/>
    <col min="6621" max="6621" width="6.42578125" style="62" customWidth="1"/>
    <col min="6622" max="6622" width="5.5703125" style="62" customWidth="1"/>
    <col min="6623" max="6623" width="34.85546875" style="62" customWidth="1"/>
    <col min="6624" max="6624" width="9.42578125" style="62" customWidth="1"/>
    <col min="6625" max="6625" width="7.5703125" style="62" customWidth="1"/>
    <col min="6626" max="6626" width="8.85546875" style="62" customWidth="1"/>
    <col min="6627" max="6627" width="10.42578125" style="62" customWidth="1"/>
    <col min="6628" max="6628" width="9.28515625" style="62" customWidth="1"/>
    <col min="6629" max="6629" width="8.42578125" style="62" customWidth="1"/>
    <col min="6630" max="6630" width="8.28515625" style="62" customWidth="1"/>
    <col min="6631" max="6631" width="8.42578125" style="62" customWidth="1"/>
    <col min="6632" max="6632" width="9.140625" style="62" customWidth="1"/>
    <col min="6633" max="6633" width="7.85546875" style="62" customWidth="1"/>
    <col min="6634" max="6634" width="9" style="62" customWidth="1"/>
    <col min="6635" max="6635" width="9.28515625" style="62" customWidth="1"/>
    <col min="6636" max="6636" width="8.5703125" style="62" customWidth="1"/>
    <col min="6637" max="6873" width="9.140625" style="62"/>
    <col min="6874" max="6874" width="7.7109375" style="62" customWidth="1"/>
    <col min="6875" max="6875" width="7" style="62" customWidth="1"/>
    <col min="6876" max="6876" width="5" style="62" customWidth="1"/>
    <col min="6877" max="6877" width="6.42578125" style="62" customWidth="1"/>
    <col min="6878" max="6878" width="5.5703125" style="62" customWidth="1"/>
    <col min="6879" max="6879" width="34.85546875" style="62" customWidth="1"/>
    <col min="6880" max="6880" width="9.42578125" style="62" customWidth="1"/>
    <col min="6881" max="6881" width="7.5703125" style="62" customWidth="1"/>
    <col min="6882" max="6882" width="8.85546875" style="62" customWidth="1"/>
    <col min="6883" max="6883" width="10.42578125" style="62" customWidth="1"/>
    <col min="6884" max="6884" width="9.28515625" style="62" customWidth="1"/>
    <col min="6885" max="6885" width="8.42578125" style="62" customWidth="1"/>
    <col min="6886" max="6886" width="8.28515625" style="62" customWidth="1"/>
    <col min="6887" max="6887" width="8.42578125" style="62" customWidth="1"/>
    <col min="6888" max="6888" width="9.140625" style="62" customWidth="1"/>
    <col min="6889" max="6889" width="7.85546875" style="62" customWidth="1"/>
    <col min="6890" max="6890" width="9" style="62" customWidth="1"/>
    <col min="6891" max="6891" width="9.28515625" style="62" customWidth="1"/>
    <col min="6892" max="6892" width="8.5703125" style="62" customWidth="1"/>
    <col min="6893" max="7129" width="9.140625" style="62"/>
    <col min="7130" max="7130" width="7.7109375" style="62" customWidth="1"/>
    <col min="7131" max="7131" width="7" style="62" customWidth="1"/>
    <col min="7132" max="7132" width="5" style="62" customWidth="1"/>
    <col min="7133" max="7133" width="6.42578125" style="62" customWidth="1"/>
    <col min="7134" max="7134" width="5.5703125" style="62" customWidth="1"/>
    <col min="7135" max="7135" width="34.85546875" style="62" customWidth="1"/>
    <col min="7136" max="7136" width="9.42578125" style="62" customWidth="1"/>
    <col min="7137" max="7137" width="7.5703125" style="62" customWidth="1"/>
    <col min="7138" max="7138" width="8.85546875" style="62" customWidth="1"/>
    <col min="7139" max="7139" width="10.42578125" style="62" customWidth="1"/>
    <col min="7140" max="7140" width="9.28515625" style="62" customWidth="1"/>
    <col min="7141" max="7141" width="8.42578125" style="62" customWidth="1"/>
    <col min="7142" max="7142" width="8.28515625" style="62" customWidth="1"/>
    <col min="7143" max="7143" width="8.42578125" style="62" customWidth="1"/>
    <col min="7144" max="7144" width="9.140625" style="62" customWidth="1"/>
    <col min="7145" max="7145" width="7.85546875" style="62" customWidth="1"/>
    <col min="7146" max="7146" width="9" style="62" customWidth="1"/>
    <col min="7147" max="7147" width="9.28515625" style="62" customWidth="1"/>
    <col min="7148" max="7148" width="8.5703125" style="62" customWidth="1"/>
    <col min="7149" max="7385" width="9.140625" style="62"/>
    <col min="7386" max="7386" width="7.7109375" style="62" customWidth="1"/>
    <col min="7387" max="7387" width="7" style="62" customWidth="1"/>
    <col min="7388" max="7388" width="5" style="62" customWidth="1"/>
    <col min="7389" max="7389" width="6.42578125" style="62" customWidth="1"/>
    <col min="7390" max="7390" width="5.5703125" style="62" customWidth="1"/>
    <col min="7391" max="7391" width="34.85546875" style="62" customWidth="1"/>
    <col min="7392" max="7392" width="9.42578125" style="62" customWidth="1"/>
    <col min="7393" max="7393" width="7.5703125" style="62" customWidth="1"/>
    <col min="7394" max="7394" width="8.85546875" style="62" customWidth="1"/>
    <col min="7395" max="7395" width="10.42578125" style="62" customWidth="1"/>
    <col min="7396" max="7396" width="9.28515625" style="62" customWidth="1"/>
    <col min="7397" max="7397" width="8.42578125" style="62" customWidth="1"/>
    <col min="7398" max="7398" width="8.28515625" style="62" customWidth="1"/>
    <col min="7399" max="7399" width="8.42578125" style="62" customWidth="1"/>
    <col min="7400" max="7400" width="9.140625" style="62" customWidth="1"/>
    <col min="7401" max="7401" width="7.85546875" style="62" customWidth="1"/>
    <col min="7402" max="7402" width="9" style="62" customWidth="1"/>
    <col min="7403" max="7403" width="9.28515625" style="62" customWidth="1"/>
    <col min="7404" max="7404" width="8.5703125" style="62" customWidth="1"/>
    <col min="7405" max="7641" width="9.140625" style="62"/>
    <col min="7642" max="7642" width="7.7109375" style="62" customWidth="1"/>
    <col min="7643" max="7643" width="7" style="62" customWidth="1"/>
    <col min="7644" max="7644" width="5" style="62" customWidth="1"/>
    <col min="7645" max="7645" width="6.42578125" style="62" customWidth="1"/>
    <col min="7646" max="7646" width="5.5703125" style="62" customWidth="1"/>
    <col min="7647" max="7647" width="34.85546875" style="62" customWidth="1"/>
    <col min="7648" max="7648" width="9.42578125" style="62" customWidth="1"/>
    <col min="7649" max="7649" width="7.5703125" style="62" customWidth="1"/>
    <col min="7650" max="7650" width="8.85546875" style="62" customWidth="1"/>
    <col min="7651" max="7651" width="10.42578125" style="62" customWidth="1"/>
    <col min="7652" max="7652" width="9.28515625" style="62" customWidth="1"/>
    <col min="7653" max="7653" width="8.42578125" style="62" customWidth="1"/>
    <col min="7654" max="7654" width="8.28515625" style="62" customWidth="1"/>
    <col min="7655" max="7655" width="8.42578125" style="62" customWidth="1"/>
    <col min="7656" max="7656" width="9.140625" style="62" customWidth="1"/>
    <col min="7657" max="7657" width="7.85546875" style="62" customWidth="1"/>
    <col min="7658" max="7658" width="9" style="62" customWidth="1"/>
    <col min="7659" max="7659" width="9.28515625" style="62" customWidth="1"/>
    <col min="7660" max="7660" width="8.5703125" style="62" customWidth="1"/>
    <col min="7661" max="7897" width="9.140625" style="62"/>
    <col min="7898" max="7898" width="7.7109375" style="62" customWidth="1"/>
    <col min="7899" max="7899" width="7" style="62" customWidth="1"/>
    <col min="7900" max="7900" width="5" style="62" customWidth="1"/>
    <col min="7901" max="7901" width="6.42578125" style="62" customWidth="1"/>
    <col min="7902" max="7902" width="5.5703125" style="62" customWidth="1"/>
    <col min="7903" max="7903" width="34.85546875" style="62" customWidth="1"/>
    <col min="7904" max="7904" width="9.42578125" style="62" customWidth="1"/>
    <col min="7905" max="7905" width="7.5703125" style="62" customWidth="1"/>
    <col min="7906" max="7906" width="8.85546875" style="62" customWidth="1"/>
    <col min="7907" max="7907" width="10.42578125" style="62" customWidth="1"/>
    <col min="7908" max="7908" width="9.28515625" style="62" customWidth="1"/>
    <col min="7909" max="7909" width="8.42578125" style="62" customWidth="1"/>
    <col min="7910" max="7910" width="8.28515625" style="62" customWidth="1"/>
    <col min="7911" max="7911" width="8.42578125" style="62" customWidth="1"/>
    <col min="7912" max="7912" width="9.140625" style="62" customWidth="1"/>
    <col min="7913" max="7913" width="7.85546875" style="62" customWidth="1"/>
    <col min="7914" max="7914" width="9" style="62" customWidth="1"/>
    <col min="7915" max="7915" width="9.28515625" style="62" customWidth="1"/>
    <col min="7916" max="7916" width="8.5703125" style="62" customWidth="1"/>
    <col min="7917" max="8153" width="9.140625" style="62"/>
    <col min="8154" max="8154" width="7.7109375" style="62" customWidth="1"/>
    <col min="8155" max="8155" width="7" style="62" customWidth="1"/>
    <col min="8156" max="8156" width="5" style="62" customWidth="1"/>
    <col min="8157" max="8157" width="6.42578125" style="62" customWidth="1"/>
    <col min="8158" max="8158" width="5.5703125" style="62" customWidth="1"/>
    <col min="8159" max="8159" width="34.85546875" style="62" customWidth="1"/>
    <col min="8160" max="8160" width="9.42578125" style="62" customWidth="1"/>
    <col min="8161" max="8161" width="7.5703125" style="62" customWidth="1"/>
    <col min="8162" max="8162" width="8.85546875" style="62" customWidth="1"/>
    <col min="8163" max="8163" width="10.42578125" style="62" customWidth="1"/>
    <col min="8164" max="8164" width="9.28515625" style="62" customWidth="1"/>
    <col min="8165" max="8165" width="8.42578125" style="62" customWidth="1"/>
    <col min="8166" max="8166" width="8.28515625" style="62" customWidth="1"/>
    <col min="8167" max="8167" width="8.42578125" style="62" customWidth="1"/>
    <col min="8168" max="8168" width="9.140625" style="62" customWidth="1"/>
    <col min="8169" max="8169" width="7.85546875" style="62" customWidth="1"/>
    <col min="8170" max="8170" width="9" style="62" customWidth="1"/>
    <col min="8171" max="8171" width="9.28515625" style="62" customWidth="1"/>
    <col min="8172" max="8172" width="8.5703125" style="62" customWidth="1"/>
    <col min="8173" max="8409" width="9.140625" style="62"/>
    <col min="8410" max="8410" width="7.7109375" style="62" customWidth="1"/>
    <col min="8411" max="8411" width="7" style="62" customWidth="1"/>
    <col min="8412" max="8412" width="5" style="62" customWidth="1"/>
    <col min="8413" max="8413" width="6.42578125" style="62" customWidth="1"/>
    <col min="8414" max="8414" width="5.5703125" style="62" customWidth="1"/>
    <col min="8415" max="8415" width="34.85546875" style="62" customWidth="1"/>
    <col min="8416" max="8416" width="9.42578125" style="62" customWidth="1"/>
    <col min="8417" max="8417" width="7.5703125" style="62" customWidth="1"/>
    <col min="8418" max="8418" width="8.85546875" style="62" customWidth="1"/>
    <col min="8419" max="8419" width="10.42578125" style="62" customWidth="1"/>
    <col min="8420" max="8420" width="9.28515625" style="62" customWidth="1"/>
    <col min="8421" max="8421" width="8.42578125" style="62" customWidth="1"/>
    <col min="8422" max="8422" width="8.28515625" style="62" customWidth="1"/>
    <col min="8423" max="8423" width="8.42578125" style="62" customWidth="1"/>
    <col min="8424" max="8424" width="9.140625" style="62" customWidth="1"/>
    <col min="8425" max="8425" width="7.85546875" style="62" customWidth="1"/>
    <col min="8426" max="8426" width="9" style="62" customWidth="1"/>
    <col min="8427" max="8427" width="9.28515625" style="62" customWidth="1"/>
    <col min="8428" max="8428" width="8.5703125" style="62" customWidth="1"/>
    <col min="8429" max="8665" width="9.140625" style="62"/>
    <col min="8666" max="8666" width="7.7109375" style="62" customWidth="1"/>
    <col min="8667" max="8667" width="7" style="62" customWidth="1"/>
    <col min="8668" max="8668" width="5" style="62" customWidth="1"/>
    <col min="8669" max="8669" width="6.42578125" style="62" customWidth="1"/>
    <col min="8670" max="8670" width="5.5703125" style="62" customWidth="1"/>
    <col min="8671" max="8671" width="34.85546875" style="62" customWidth="1"/>
    <col min="8672" max="8672" width="9.42578125" style="62" customWidth="1"/>
    <col min="8673" max="8673" width="7.5703125" style="62" customWidth="1"/>
    <col min="8674" max="8674" width="8.85546875" style="62" customWidth="1"/>
    <col min="8675" max="8675" width="10.42578125" style="62" customWidth="1"/>
    <col min="8676" max="8676" width="9.28515625" style="62" customWidth="1"/>
    <col min="8677" max="8677" width="8.42578125" style="62" customWidth="1"/>
    <col min="8678" max="8678" width="8.28515625" style="62" customWidth="1"/>
    <col min="8679" max="8679" width="8.42578125" style="62" customWidth="1"/>
    <col min="8680" max="8680" width="9.140625" style="62" customWidth="1"/>
    <col min="8681" max="8681" width="7.85546875" style="62" customWidth="1"/>
    <col min="8682" max="8682" width="9" style="62" customWidth="1"/>
    <col min="8683" max="8683" width="9.28515625" style="62" customWidth="1"/>
    <col min="8684" max="8684" width="8.5703125" style="62" customWidth="1"/>
    <col min="8685" max="8921" width="9.140625" style="62"/>
    <col min="8922" max="8922" width="7.7109375" style="62" customWidth="1"/>
    <col min="8923" max="8923" width="7" style="62" customWidth="1"/>
    <col min="8924" max="8924" width="5" style="62" customWidth="1"/>
    <col min="8925" max="8925" width="6.42578125" style="62" customWidth="1"/>
    <col min="8926" max="8926" width="5.5703125" style="62" customWidth="1"/>
    <col min="8927" max="8927" width="34.85546875" style="62" customWidth="1"/>
    <col min="8928" max="8928" width="9.42578125" style="62" customWidth="1"/>
    <col min="8929" max="8929" width="7.5703125" style="62" customWidth="1"/>
    <col min="8930" max="8930" width="8.85546875" style="62" customWidth="1"/>
    <col min="8931" max="8931" width="10.42578125" style="62" customWidth="1"/>
    <col min="8932" max="8932" width="9.28515625" style="62" customWidth="1"/>
    <col min="8933" max="8933" width="8.42578125" style="62" customWidth="1"/>
    <col min="8934" max="8934" width="8.28515625" style="62" customWidth="1"/>
    <col min="8935" max="8935" width="8.42578125" style="62" customWidth="1"/>
    <col min="8936" max="8936" width="9.140625" style="62" customWidth="1"/>
    <col min="8937" max="8937" width="7.85546875" style="62" customWidth="1"/>
    <col min="8938" max="8938" width="9" style="62" customWidth="1"/>
    <col min="8939" max="8939" width="9.28515625" style="62" customWidth="1"/>
    <col min="8940" max="8940" width="8.5703125" style="62" customWidth="1"/>
    <col min="8941" max="9177" width="9.140625" style="62"/>
    <col min="9178" max="9178" width="7.7109375" style="62" customWidth="1"/>
    <col min="9179" max="9179" width="7" style="62" customWidth="1"/>
    <col min="9180" max="9180" width="5" style="62" customWidth="1"/>
    <col min="9181" max="9181" width="6.42578125" style="62" customWidth="1"/>
    <col min="9182" max="9182" width="5.5703125" style="62" customWidth="1"/>
    <col min="9183" max="9183" width="34.85546875" style="62" customWidth="1"/>
    <col min="9184" max="9184" width="9.42578125" style="62" customWidth="1"/>
    <col min="9185" max="9185" width="7.5703125" style="62" customWidth="1"/>
    <col min="9186" max="9186" width="8.85546875" style="62" customWidth="1"/>
    <col min="9187" max="9187" width="10.42578125" style="62" customWidth="1"/>
    <col min="9188" max="9188" width="9.28515625" style="62" customWidth="1"/>
    <col min="9189" max="9189" width="8.42578125" style="62" customWidth="1"/>
    <col min="9190" max="9190" width="8.28515625" style="62" customWidth="1"/>
    <col min="9191" max="9191" width="8.42578125" style="62" customWidth="1"/>
    <col min="9192" max="9192" width="9.140625" style="62" customWidth="1"/>
    <col min="9193" max="9193" width="7.85546875" style="62" customWidth="1"/>
    <col min="9194" max="9194" width="9" style="62" customWidth="1"/>
    <col min="9195" max="9195" width="9.28515625" style="62" customWidth="1"/>
    <col min="9196" max="9196" width="8.5703125" style="62" customWidth="1"/>
    <col min="9197" max="9433" width="9.140625" style="62"/>
    <col min="9434" max="9434" width="7.7109375" style="62" customWidth="1"/>
    <col min="9435" max="9435" width="7" style="62" customWidth="1"/>
    <col min="9436" max="9436" width="5" style="62" customWidth="1"/>
    <col min="9437" max="9437" width="6.42578125" style="62" customWidth="1"/>
    <col min="9438" max="9438" width="5.5703125" style="62" customWidth="1"/>
    <col min="9439" max="9439" width="34.85546875" style="62" customWidth="1"/>
    <col min="9440" max="9440" width="9.42578125" style="62" customWidth="1"/>
    <col min="9441" max="9441" width="7.5703125" style="62" customWidth="1"/>
    <col min="9442" max="9442" width="8.85546875" style="62" customWidth="1"/>
    <col min="9443" max="9443" width="10.42578125" style="62" customWidth="1"/>
    <col min="9444" max="9444" width="9.28515625" style="62" customWidth="1"/>
    <col min="9445" max="9445" width="8.42578125" style="62" customWidth="1"/>
    <col min="9446" max="9446" width="8.28515625" style="62" customWidth="1"/>
    <col min="9447" max="9447" width="8.42578125" style="62" customWidth="1"/>
    <col min="9448" max="9448" width="9.140625" style="62" customWidth="1"/>
    <col min="9449" max="9449" width="7.85546875" style="62" customWidth="1"/>
    <col min="9450" max="9450" width="9" style="62" customWidth="1"/>
    <col min="9451" max="9451" width="9.28515625" style="62" customWidth="1"/>
    <col min="9452" max="9452" width="8.5703125" style="62" customWidth="1"/>
    <col min="9453" max="9689" width="9.140625" style="62"/>
    <col min="9690" max="9690" width="7.7109375" style="62" customWidth="1"/>
    <col min="9691" max="9691" width="7" style="62" customWidth="1"/>
    <col min="9692" max="9692" width="5" style="62" customWidth="1"/>
    <col min="9693" max="9693" width="6.42578125" style="62" customWidth="1"/>
    <col min="9694" max="9694" width="5.5703125" style="62" customWidth="1"/>
    <col min="9695" max="9695" width="34.85546875" style="62" customWidth="1"/>
    <col min="9696" max="9696" width="9.42578125" style="62" customWidth="1"/>
    <col min="9697" max="9697" width="7.5703125" style="62" customWidth="1"/>
    <col min="9698" max="9698" width="8.85546875" style="62" customWidth="1"/>
    <col min="9699" max="9699" width="10.42578125" style="62" customWidth="1"/>
    <col min="9700" max="9700" width="9.28515625" style="62" customWidth="1"/>
    <col min="9701" max="9701" width="8.42578125" style="62" customWidth="1"/>
    <col min="9702" max="9702" width="8.28515625" style="62" customWidth="1"/>
    <col min="9703" max="9703" width="8.42578125" style="62" customWidth="1"/>
    <col min="9704" max="9704" width="9.140625" style="62" customWidth="1"/>
    <col min="9705" max="9705" width="7.85546875" style="62" customWidth="1"/>
    <col min="9706" max="9706" width="9" style="62" customWidth="1"/>
    <col min="9707" max="9707" width="9.28515625" style="62" customWidth="1"/>
    <col min="9708" max="9708" width="8.5703125" style="62" customWidth="1"/>
    <col min="9709" max="9945" width="9.140625" style="62"/>
    <col min="9946" max="9946" width="7.7109375" style="62" customWidth="1"/>
    <col min="9947" max="9947" width="7" style="62" customWidth="1"/>
    <col min="9948" max="9948" width="5" style="62" customWidth="1"/>
    <col min="9949" max="9949" width="6.42578125" style="62" customWidth="1"/>
    <col min="9950" max="9950" width="5.5703125" style="62" customWidth="1"/>
    <col min="9951" max="9951" width="34.85546875" style="62" customWidth="1"/>
    <col min="9952" max="9952" width="9.42578125" style="62" customWidth="1"/>
    <col min="9953" max="9953" width="7.5703125" style="62" customWidth="1"/>
    <col min="9954" max="9954" width="8.85546875" style="62" customWidth="1"/>
    <col min="9955" max="9955" width="10.42578125" style="62" customWidth="1"/>
    <col min="9956" max="9956" width="9.28515625" style="62" customWidth="1"/>
    <col min="9957" max="9957" width="8.42578125" style="62" customWidth="1"/>
    <col min="9958" max="9958" width="8.28515625" style="62" customWidth="1"/>
    <col min="9959" max="9959" width="8.42578125" style="62" customWidth="1"/>
    <col min="9960" max="9960" width="9.140625" style="62" customWidth="1"/>
    <col min="9961" max="9961" width="7.85546875" style="62" customWidth="1"/>
    <col min="9962" max="9962" width="9" style="62" customWidth="1"/>
    <col min="9963" max="9963" width="9.28515625" style="62" customWidth="1"/>
    <col min="9964" max="9964" width="8.5703125" style="62" customWidth="1"/>
    <col min="9965" max="10201" width="9.140625" style="62"/>
    <col min="10202" max="10202" width="7.7109375" style="62" customWidth="1"/>
    <col min="10203" max="10203" width="7" style="62" customWidth="1"/>
    <col min="10204" max="10204" width="5" style="62" customWidth="1"/>
    <col min="10205" max="10205" width="6.42578125" style="62" customWidth="1"/>
    <col min="10206" max="10206" width="5.5703125" style="62" customWidth="1"/>
    <col min="10207" max="10207" width="34.85546875" style="62" customWidth="1"/>
    <col min="10208" max="10208" width="9.42578125" style="62" customWidth="1"/>
    <col min="10209" max="10209" width="7.5703125" style="62" customWidth="1"/>
    <col min="10210" max="10210" width="8.85546875" style="62" customWidth="1"/>
    <col min="10211" max="10211" width="10.42578125" style="62" customWidth="1"/>
    <col min="10212" max="10212" width="9.28515625" style="62" customWidth="1"/>
    <col min="10213" max="10213" width="8.42578125" style="62" customWidth="1"/>
    <col min="10214" max="10214" width="8.28515625" style="62" customWidth="1"/>
    <col min="10215" max="10215" width="8.42578125" style="62" customWidth="1"/>
    <col min="10216" max="10216" width="9.140625" style="62" customWidth="1"/>
    <col min="10217" max="10217" width="7.85546875" style="62" customWidth="1"/>
    <col min="10218" max="10218" width="9" style="62" customWidth="1"/>
    <col min="10219" max="10219" width="9.28515625" style="62" customWidth="1"/>
    <col min="10220" max="10220" width="8.5703125" style="62" customWidth="1"/>
    <col min="10221" max="10457" width="9.140625" style="62"/>
    <col min="10458" max="10458" width="7.7109375" style="62" customWidth="1"/>
    <col min="10459" max="10459" width="7" style="62" customWidth="1"/>
    <col min="10460" max="10460" width="5" style="62" customWidth="1"/>
    <col min="10461" max="10461" width="6.42578125" style="62" customWidth="1"/>
    <col min="10462" max="10462" width="5.5703125" style="62" customWidth="1"/>
    <col min="10463" max="10463" width="34.85546875" style="62" customWidth="1"/>
    <col min="10464" max="10464" width="9.42578125" style="62" customWidth="1"/>
    <col min="10465" max="10465" width="7.5703125" style="62" customWidth="1"/>
    <col min="10466" max="10466" width="8.85546875" style="62" customWidth="1"/>
    <col min="10467" max="10467" width="10.42578125" style="62" customWidth="1"/>
    <col min="10468" max="10468" width="9.28515625" style="62" customWidth="1"/>
    <col min="10469" max="10469" width="8.42578125" style="62" customWidth="1"/>
    <col min="10470" max="10470" width="8.28515625" style="62" customWidth="1"/>
    <col min="10471" max="10471" width="8.42578125" style="62" customWidth="1"/>
    <col min="10472" max="10472" width="9.140625" style="62" customWidth="1"/>
    <col min="10473" max="10473" width="7.85546875" style="62" customWidth="1"/>
    <col min="10474" max="10474" width="9" style="62" customWidth="1"/>
    <col min="10475" max="10475" width="9.28515625" style="62" customWidth="1"/>
    <col min="10476" max="10476" width="8.5703125" style="62" customWidth="1"/>
    <col min="10477" max="10713" width="9.140625" style="62"/>
    <col min="10714" max="10714" width="7.7109375" style="62" customWidth="1"/>
    <col min="10715" max="10715" width="7" style="62" customWidth="1"/>
    <col min="10716" max="10716" width="5" style="62" customWidth="1"/>
    <col min="10717" max="10717" width="6.42578125" style="62" customWidth="1"/>
    <col min="10718" max="10718" width="5.5703125" style="62" customWidth="1"/>
    <col min="10719" max="10719" width="34.85546875" style="62" customWidth="1"/>
    <col min="10720" max="10720" width="9.42578125" style="62" customWidth="1"/>
    <col min="10721" max="10721" width="7.5703125" style="62" customWidth="1"/>
    <col min="10722" max="10722" width="8.85546875" style="62" customWidth="1"/>
    <col min="10723" max="10723" width="10.42578125" style="62" customWidth="1"/>
    <col min="10724" max="10724" width="9.28515625" style="62" customWidth="1"/>
    <col min="10725" max="10725" width="8.42578125" style="62" customWidth="1"/>
    <col min="10726" max="10726" width="8.28515625" style="62" customWidth="1"/>
    <col min="10727" max="10727" width="8.42578125" style="62" customWidth="1"/>
    <col min="10728" max="10728" width="9.140625" style="62" customWidth="1"/>
    <col min="10729" max="10729" width="7.85546875" style="62" customWidth="1"/>
    <col min="10730" max="10730" width="9" style="62" customWidth="1"/>
    <col min="10731" max="10731" width="9.28515625" style="62" customWidth="1"/>
    <col min="10732" max="10732" width="8.5703125" style="62" customWidth="1"/>
    <col min="10733" max="10969" width="9.140625" style="62"/>
    <col min="10970" max="10970" width="7.7109375" style="62" customWidth="1"/>
    <col min="10971" max="10971" width="7" style="62" customWidth="1"/>
    <col min="10972" max="10972" width="5" style="62" customWidth="1"/>
    <col min="10973" max="10973" width="6.42578125" style="62" customWidth="1"/>
    <col min="10974" max="10974" width="5.5703125" style="62" customWidth="1"/>
    <col min="10975" max="10975" width="34.85546875" style="62" customWidth="1"/>
    <col min="10976" max="10976" width="9.42578125" style="62" customWidth="1"/>
    <col min="10977" max="10977" width="7.5703125" style="62" customWidth="1"/>
    <col min="10978" max="10978" width="8.85546875" style="62" customWidth="1"/>
    <col min="10979" max="10979" width="10.42578125" style="62" customWidth="1"/>
    <col min="10980" max="10980" width="9.28515625" style="62" customWidth="1"/>
    <col min="10981" max="10981" width="8.42578125" style="62" customWidth="1"/>
    <col min="10982" max="10982" width="8.28515625" style="62" customWidth="1"/>
    <col min="10983" max="10983" width="8.42578125" style="62" customWidth="1"/>
    <col min="10984" max="10984" width="9.140625" style="62" customWidth="1"/>
    <col min="10985" max="10985" width="7.85546875" style="62" customWidth="1"/>
    <col min="10986" max="10986" width="9" style="62" customWidth="1"/>
    <col min="10987" max="10987" width="9.28515625" style="62" customWidth="1"/>
    <col min="10988" max="10988" width="8.5703125" style="62" customWidth="1"/>
    <col min="10989" max="11225" width="9.140625" style="62"/>
    <col min="11226" max="11226" width="7.7109375" style="62" customWidth="1"/>
    <col min="11227" max="11227" width="7" style="62" customWidth="1"/>
    <col min="11228" max="11228" width="5" style="62" customWidth="1"/>
    <col min="11229" max="11229" width="6.42578125" style="62" customWidth="1"/>
    <col min="11230" max="11230" width="5.5703125" style="62" customWidth="1"/>
    <col min="11231" max="11231" width="34.85546875" style="62" customWidth="1"/>
    <col min="11232" max="11232" width="9.42578125" style="62" customWidth="1"/>
    <col min="11233" max="11233" width="7.5703125" style="62" customWidth="1"/>
    <col min="11234" max="11234" width="8.85546875" style="62" customWidth="1"/>
    <col min="11235" max="11235" width="10.42578125" style="62" customWidth="1"/>
    <col min="11236" max="11236" width="9.28515625" style="62" customWidth="1"/>
    <col min="11237" max="11237" width="8.42578125" style="62" customWidth="1"/>
    <col min="11238" max="11238" width="8.28515625" style="62" customWidth="1"/>
    <col min="11239" max="11239" width="8.42578125" style="62" customWidth="1"/>
    <col min="11240" max="11240" width="9.140625" style="62" customWidth="1"/>
    <col min="11241" max="11241" width="7.85546875" style="62" customWidth="1"/>
    <col min="11242" max="11242" width="9" style="62" customWidth="1"/>
    <col min="11243" max="11243" width="9.28515625" style="62" customWidth="1"/>
    <col min="11244" max="11244" width="8.5703125" style="62" customWidth="1"/>
    <col min="11245" max="11481" width="9.140625" style="62"/>
    <col min="11482" max="11482" width="7.7109375" style="62" customWidth="1"/>
    <col min="11483" max="11483" width="7" style="62" customWidth="1"/>
    <col min="11484" max="11484" width="5" style="62" customWidth="1"/>
    <col min="11485" max="11485" width="6.42578125" style="62" customWidth="1"/>
    <col min="11486" max="11486" width="5.5703125" style="62" customWidth="1"/>
    <col min="11487" max="11487" width="34.85546875" style="62" customWidth="1"/>
    <col min="11488" max="11488" width="9.42578125" style="62" customWidth="1"/>
    <col min="11489" max="11489" width="7.5703125" style="62" customWidth="1"/>
    <col min="11490" max="11490" width="8.85546875" style="62" customWidth="1"/>
    <col min="11491" max="11491" width="10.42578125" style="62" customWidth="1"/>
    <col min="11492" max="11492" width="9.28515625" style="62" customWidth="1"/>
    <col min="11493" max="11493" width="8.42578125" style="62" customWidth="1"/>
    <col min="11494" max="11494" width="8.28515625" style="62" customWidth="1"/>
    <col min="11495" max="11495" width="8.42578125" style="62" customWidth="1"/>
    <col min="11496" max="11496" width="9.140625" style="62" customWidth="1"/>
    <col min="11497" max="11497" width="7.85546875" style="62" customWidth="1"/>
    <col min="11498" max="11498" width="9" style="62" customWidth="1"/>
    <col min="11499" max="11499" width="9.28515625" style="62" customWidth="1"/>
    <col min="11500" max="11500" width="8.5703125" style="62" customWidth="1"/>
    <col min="11501" max="11737" width="9.140625" style="62"/>
    <col min="11738" max="11738" width="7.7109375" style="62" customWidth="1"/>
    <col min="11739" max="11739" width="7" style="62" customWidth="1"/>
    <col min="11740" max="11740" width="5" style="62" customWidth="1"/>
    <col min="11741" max="11741" width="6.42578125" style="62" customWidth="1"/>
    <col min="11742" max="11742" width="5.5703125" style="62" customWidth="1"/>
    <col min="11743" max="11743" width="34.85546875" style="62" customWidth="1"/>
    <col min="11744" max="11744" width="9.42578125" style="62" customWidth="1"/>
    <col min="11745" max="11745" width="7.5703125" style="62" customWidth="1"/>
    <col min="11746" max="11746" width="8.85546875" style="62" customWidth="1"/>
    <col min="11747" max="11747" width="10.42578125" style="62" customWidth="1"/>
    <col min="11748" max="11748" width="9.28515625" style="62" customWidth="1"/>
    <col min="11749" max="11749" width="8.42578125" style="62" customWidth="1"/>
    <col min="11750" max="11750" width="8.28515625" style="62" customWidth="1"/>
    <col min="11751" max="11751" width="8.42578125" style="62" customWidth="1"/>
    <col min="11752" max="11752" width="9.140625" style="62" customWidth="1"/>
    <col min="11753" max="11753" width="7.85546875" style="62" customWidth="1"/>
    <col min="11754" max="11754" width="9" style="62" customWidth="1"/>
    <col min="11755" max="11755" width="9.28515625" style="62" customWidth="1"/>
    <col min="11756" max="11756" width="8.5703125" style="62" customWidth="1"/>
    <col min="11757" max="11993" width="9.140625" style="62"/>
    <col min="11994" max="11994" width="7.7109375" style="62" customWidth="1"/>
    <col min="11995" max="11995" width="7" style="62" customWidth="1"/>
    <col min="11996" max="11996" width="5" style="62" customWidth="1"/>
    <col min="11997" max="11997" width="6.42578125" style="62" customWidth="1"/>
    <col min="11998" max="11998" width="5.5703125" style="62" customWidth="1"/>
    <col min="11999" max="11999" width="34.85546875" style="62" customWidth="1"/>
    <col min="12000" max="12000" width="9.42578125" style="62" customWidth="1"/>
    <col min="12001" max="12001" width="7.5703125" style="62" customWidth="1"/>
    <col min="12002" max="12002" width="8.85546875" style="62" customWidth="1"/>
    <col min="12003" max="12003" width="10.42578125" style="62" customWidth="1"/>
    <col min="12004" max="12004" width="9.28515625" style="62" customWidth="1"/>
    <col min="12005" max="12005" width="8.42578125" style="62" customWidth="1"/>
    <col min="12006" max="12006" width="8.28515625" style="62" customWidth="1"/>
    <col min="12007" max="12007" width="8.42578125" style="62" customWidth="1"/>
    <col min="12008" max="12008" width="9.140625" style="62" customWidth="1"/>
    <col min="12009" max="12009" width="7.85546875" style="62" customWidth="1"/>
    <col min="12010" max="12010" width="9" style="62" customWidth="1"/>
    <col min="12011" max="12011" width="9.28515625" style="62" customWidth="1"/>
    <col min="12012" max="12012" width="8.5703125" style="62" customWidth="1"/>
    <col min="12013" max="12249" width="9.140625" style="62"/>
    <col min="12250" max="12250" width="7.7109375" style="62" customWidth="1"/>
    <col min="12251" max="12251" width="7" style="62" customWidth="1"/>
    <col min="12252" max="12252" width="5" style="62" customWidth="1"/>
    <col min="12253" max="12253" width="6.42578125" style="62" customWidth="1"/>
    <col min="12254" max="12254" width="5.5703125" style="62" customWidth="1"/>
    <col min="12255" max="12255" width="34.85546875" style="62" customWidth="1"/>
    <col min="12256" max="12256" width="9.42578125" style="62" customWidth="1"/>
    <col min="12257" max="12257" width="7.5703125" style="62" customWidth="1"/>
    <col min="12258" max="12258" width="8.85546875" style="62" customWidth="1"/>
    <col min="12259" max="12259" width="10.42578125" style="62" customWidth="1"/>
    <col min="12260" max="12260" width="9.28515625" style="62" customWidth="1"/>
    <col min="12261" max="12261" width="8.42578125" style="62" customWidth="1"/>
    <col min="12262" max="12262" width="8.28515625" style="62" customWidth="1"/>
    <col min="12263" max="12263" width="8.42578125" style="62" customWidth="1"/>
    <col min="12264" max="12264" width="9.140625" style="62" customWidth="1"/>
    <col min="12265" max="12265" width="7.85546875" style="62" customWidth="1"/>
    <col min="12266" max="12266" width="9" style="62" customWidth="1"/>
    <col min="12267" max="12267" width="9.28515625" style="62" customWidth="1"/>
    <col min="12268" max="12268" width="8.5703125" style="62" customWidth="1"/>
    <col min="12269" max="12505" width="9.140625" style="62"/>
    <col min="12506" max="12506" width="7.7109375" style="62" customWidth="1"/>
    <col min="12507" max="12507" width="7" style="62" customWidth="1"/>
    <col min="12508" max="12508" width="5" style="62" customWidth="1"/>
    <col min="12509" max="12509" width="6.42578125" style="62" customWidth="1"/>
    <col min="12510" max="12510" width="5.5703125" style="62" customWidth="1"/>
    <col min="12511" max="12511" width="34.85546875" style="62" customWidth="1"/>
    <col min="12512" max="12512" width="9.42578125" style="62" customWidth="1"/>
    <col min="12513" max="12513" width="7.5703125" style="62" customWidth="1"/>
    <col min="12514" max="12514" width="8.85546875" style="62" customWidth="1"/>
    <col min="12515" max="12515" width="10.42578125" style="62" customWidth="1"/>
    <col min="12516" max="12516" width="9.28515625" style="62" customWidth="1"/>
    <col min="12517" max="12517" width="8.42578125" style="62" customWidth="1"/>
    <col min="12518" max="12518" width="8.28515625" style="62" customWidth="1"/>
    <col min="12519" max="12519" width="8.42578125" style="62" customWidth="1"/>
    <col min="12520" max="12520" width="9.140625" style="62" customWidth="1"/>
    <col min="12521" max="12521" width="7.85546875" style="62" customWidth="1"/>
    <col min="12522" max="12522" width="9" style="62" customWidth="1"/>
    <col min="12523" max="12523" width="9.28515625" style="62" customWidth="1"/>
    <col min="12524" max="12524" width="8.5703125" style="62" customWidth="1"/>
    <col min="12525" max="12761" width="9.140625" style="62"/>
    <col min="12762" max="12762" width="7.7109375" style="62" customWidth="1"/>
    <col min="12763" max="12763" width="7" style="62" customWidth="1"/>
    <col min="12764" max="12764" width="5" style="62" customWidth="1"/>
    <col min="12765" max="12765" width="6.42578125" style="62" customWidth="1"/>
    <col min="12766" max="12766" width="5.5703125" style="62" customWidth="1"/>
    <col min="12767" max="12767" width="34.85546875" style="62" customWidth="1"/>
    <col min="12768" max="12768" width="9.42578125" style="62" customWidth="1"/>
    <col min="12769" max="12769" width="7.5703125" style="62" customWidth="1"/>
    <col min="12770" max="12770" width="8.85546875" style="62" customWidth="1"/>
    <col min="12771" max="12771" width="10.42578125" style="62" customWidth="1"/>
    <col min="12772" max="12772" width="9.28515625" style="62" customWidth="1"/>
    <col min="12773" max="12773" width="8.42578125" style="62" customWidth="1"/>
    <col min="12774" max="12774" width="8.28515625" style="62" customWidth="1"/>
    <col min="12775" max="12775" width="8.42578125" style="62" customWidth="1"/>
    <col min="12776" max="12776" width="9.140625" style="62" customWidth="1"/>
    <col min="12777" max="12777" width="7.85546875" style="62" customWidth="1"/>
    <col min="12778" max="12778" width="9" style="62" customWidth="1"/>
    <col min="12779" max="12779" width="9.28515625" style="62" customWidth="1"/>
    <col min="12780" max="12780" width="8.5703125" style="62" customWidth="1"/>
    <col min="12781" max="13017" width="9.140625" style="62"/>
    <col min="13018" max="13018" width="7.7109375" style="62" customWidth="1"/>
    <col min="13019" max="13019" width="7" style="62" customWidth="1"/>
    <col min="13020" max="13020" width="5" style="62" customWidth="1"/>
    <col min="13021" max="13021" width="6.42578125" style="62" customWidth="1"/>
    <col min="13022" max="13022" width="5.5703125" style="62" customWidth="1"/>
    <col min="13023" max="13023" width="34.85546875" style="62" customWidth="1"/>
    <col min="13024" max="13024" width="9.42578125" style="62" customWidth="1"/>
    <col min="13025" max="13025" width="7.5703125" style="62" customWidth="1"/>
    <col min="13026" max="13026" width="8.85546875" style="62" customWidth="1"/>
    <col min="13027" max="13027" width="10.42578125" style="62" customWidth="1"/>
    <col min="13028" max="13028" width="9.28515625" style="62" customWidth="1"/>
    <col min="13029" max="13029" width="8.42578125" style="62" customWidth="1"/>
    <col min="13030" max="13030" width="8.28515625" style="62" customWidth="1"/>
    <col min="13031" max="13031" width="8.42578125" style="62" customWidth="1"/>
    <col min="13032" max="13032" width="9.140625" style="62" customWidth="1"/>
    <col min="13033" max="13033" width="7.85546875" style="62" customWidth="1"/>
    <col min="13034" max="13034" width="9" style="62" customWidth="1"/>
    <col min="13035" max="13035" width="9.28515625" style="62" customWidth="1"/>
    <col min="13036" max="13036" width="8.5703125" style="62" customWidth="1"/>
    <col min="13037" max="13273" width="9.140625" style="62"/>
    <col min="13274" max="13274" width="7.7109375" style="62" customWidth="1"/>
    <col min="13275" max="13275" width="7" style="62" customWidth="1"/>
    <col min="13276" max="13276" width="5" style="62" customWidth="1"/>
    <col min="13277" max="13277" width="6.42578125" style="62" customWidth="1"/>
    <col min="13278" max="13278" width="5.5703125" style="62" customWidth="1"/>
    <col min="13279" max="13279" width="34.85546875" style="62" customWidth="1"/>
    <col min="13280" max="13280" width="9.42578125" style="62" customWidth="1"/>
    <col min="13281" max="13281" width="7.5703125" style="62" customWidth="1"/>
    <col min="13282" max="13282" width="8.85546875" style="62" customWidth="1"/>
    <col min="13283" max="13283" width="10.42578125" style="62" customWidth="1"/>
    <col min="13284" max="13284" width="9.28515625" style="62" customWidth="1"/>
    <col min="13285" max="13285" width="8.42578125" style="62" customWidth="1"/>
    <col min="13286" max="13286" width="8.28515625" style="62" customWidth="1"/>
    <col min="13287" max="13287" width="8.42578125" style="62" customWidth="1"/>
    <col min="13288" max="13288" width="9.140625" style="62" customWidth="1"/>
    <col min="13289" max="13289" width="7.85546875" style="62" customWidth="1"/>
    <col min="13290" max="13290" width="9" style="62" customWidth="1"/>
    <col min="13291" max="13291" width="9.28515625" style="62" customWidth="1"/>
    <col min="13292" max="13292" width="8.5703125" style="62" customWidth="1"/>
    <col min="13293" max="13529" width="9.140625" style="62"/>
    <col min="13530" max="13530" width="7.7109375" style="62" customWidth="1"/>
    <col min="13531" max="13531" width="7" style="62" customWidth="1"/>
    <col min="13532" max="13532" width="5" style="62" customWidth="1"/>
    <col min="13533" max="13533" width="6.42578125" style="62" customWidth="1"/>
    <col min="13534" max="13534" width="5.5703125" style="62" customWidth="1"/>
    <col min="13535" max="13535" width="34.85546875" style="62" customWidth="1"/>
    <col min="13536" max="13536" width="9.42578125" style="62" customWidth="1"/>
    <col min="13537" max="13537" width="7.5703125" style="62" customWidth="1"/>
    <col min="13538" max="13538" width="8.85546875" style="62" customWidth="1"/>
    <col min="13539" max="13539" width="10.42578125" style="62" customWidth="1"/>
    <col min="13540" max="13540" width="9.28515625" style="62" customWidth="1"/>
    <col min="13541" max="13541" width="8.42578125" style="62" customWidth="1"/>
    <col min="13542" max="13542" width="8.28515625" style="62" customWidth="1"/>
    <col min="13543" max="13543" width="8.42578125" style="62" customWidth="1"/>
    <col min="13544" max="13544" width="9.140625" style="62" customWidth="1"/>
    <col min="13545" max="13545" width="7.85546875" style="62" customWidth="1"/>
    <col min="13546" max="13546" width="9" style="62" customWidth="1"/>
    <col min="13547" max="13547" width="9.28515625" style="62" customWidth="1"/>
    <col min="13548" max="13548" width="8.5703125" style="62" customWidth="1"/>
    <col min="13549" max="13785" width="9.140625" style="62"/>
    <col min="13786" max="13786" width="7.7109375" style="62" customWidth="1"/>
    <col min="13787" max="13787" width="7" style="62" customWidth="1"/>
    <col min="13788" max="13788" width="5" style="62" customWidth="1"/>
    <col min="13789" max="13789" width="6.42578125" style="62" customWidth="1"/>
    <col min="13790" max="13790" width="5.5703125" style="62" customWidth="1"/>
    <col min="13791" max="13791" width="34.85546875" style="62" customWidth="1"/>
    <col min="13792" max="13792" width="9.42578125" style="62" customWidth="1"/>
    <col min="13793" max="13793" width="7.5703125" style="62" customWidth="1"/>
    <col min="13794" max="13794" width="8.85546875" style="62" customWidth="1"/>
    <col min="13795" max="13795" width="10.42578125" style="62" customWidth="1"/>
    <col min="13796" max="13796" width="9.28515625" style="62" customWidth="1"/>
    <col min="13797" max="13797" width="8.42578125" style="62" customWidth="1"/>
    <col min="13798" max="13798" width="8.28515625" style="62" customWidth="1"/>
    <col min="13799" max="13799" width="8.42578125" style="62" customWidth="1"/>
    <col min="13800" max="13800" width="9.140625" style="62" customWidth="1"/>
    <col min="13801" max="13801" width="7.85546875" style="62" customWidth="1"/>
    <col min="13802" max="13802" width="9" style="62" customWidth="1"/>
    <col min="13803" max="13803" width="9.28515625" style="62" customWidth="1"/>
    <col min="13804" max="13804" width="8.5703125" style="62" customWidth="1"/>
    <col min="13805" max="14041" width="9.140625" style="62"/>
    <col min="14042" max="14042" width="7.7109375" style="62" customWidth="1"/>
    <col min="14043" max="14043" width="7" style="62" customWidth="1"/>
    <col min="14044" max="14044" width="5" style="62" customWidth="1"/>
    <col min="14045" max="14045" width="6.42578125" style="62" customWidth="1"/>
    <col min="14046" max="14046" width="5.5703125" style="62" customWidth="1"/>
    <col min="14047" max="14047" width="34.85546875" style="62" customWidth="1"/>
    <col min="14048" max="14048" width="9.42578125" style="62" customWidth="1"/>
    <col min="14049" max="14049" width="7.5703125" style="62" customWidth="1"/>
    <col min="14050" max="14050" width="8.85546875" style="62" customWidth="1"/>
    <col min="14051" max="14051" width="10.42578125" style="62" customWidth="1"/>
    <col min="14052" max="14052" width="9.28515625" style="62" customWidth="1"/>
    <col min="14053" max="14053" width="8.42578125" style="62" customWidth="1"/>
    <col min="14054" max="14054" width="8.28515625" style="62" customWidth="1"/>
    <col min="14055" max="14055" width="8.42578125" style="62" customWidth="1"/>
    <col min="14056" max="14056" width="9.140625" style="62" customWidth="1"/>
    <col min="14057" max="14057" width="7.85546875" style="62" customWidth="1"/>
    <col min="14058" max="14058" width="9" style="62" customWidth="1"/>
    <col min="14059" max="14059" width="9.28515625" style="62" customWidth="1"/>
    <col min="14060" max="14060" width="8.5703125" style="62" customWidth="1"/>
    <col min="14061" max="14297" width="9.140625" style="62"/>
    <col min="14298" max="14298" width="7.7109375" style="62" customWidth="1"/>
    <col min="14299" max="14299" width="7" style="62" customWidth="1"/>
    <col min="14300" max="14300" width="5" style="62" customWidth="1"/>
    <col min="14301" max="14301" width="6.42578125" style="62" customWidth="1"/>
    <col min="14302" max="14302" width="5.5703125" style="62" customWidth="1"/>
    <col min="14303" max="14303" width="34.85546875" style="62" customWidth="1"/>
    <col min="14304" max="14304" width="9.42578125" style="62" customWidth="1"/>
    <col min="14305" max="14305" width="7.5703125" style="62" customWidth="1"/>
    <col min="14306" max="14306" width="8.85546875" style="62" customWidth="1"/>
    <col min="14307" max="14307" width="10.42578125" style="62" customWidth="1"/>
    <col min="14308" max="14308" width="9.28515625" style="62" customWidth="1"/>
    <col min="14309" max="14309" width="8.42578125" style="62" customWidth="1"/>
    <col min="14310" max="14310" width="8.28515625" style="62" customWidth="1"/>
    <col min="14311" max="14311" width="8.42578125" style="62" customWidth="1"/>
    <col min="14312" max="14312" width="9.140625" style="62" customWidth="1"/>
    <col min="14313" max="14313" width="7.85546875" style="62" customWidth="1"/>
    <col min="14314" max="14314" width="9" style="62" customWidth="1"/>
    <col min="14315" max="14315" width="9.28515625" style="62" customWidth="1"/>
    <col min="14316" max="14316" width="8.5703125" style="62" customWidth="1"/>
    <col min="14317" max="14553" width="9.140625" style="62"/>
    <col min="14554" max="14554" width="7.7109375" style="62" customWidth="1"/>
    <col min="14555" max="14555" width="7" style="62" customWidth="1"/>
    <col min="14556" max="14556" width="5" style="62" customWidth="1"/>
    <col min="14557" max="14557" width="6.42578125" style="62" customWidth="1"/>
    <col min="14558" max="14558" width="5.5703125" style="62" customWidth="1"/>
    <col min="14559" max="14559" width="34.85546875" style="62" customWidth="1"/>
    <col min="14560" max="14560" width="9.42578125" style="62" customWidth="1"/>
    <col min="14561" max="14561" width="7.5703125" style="62" customWidth="1"/>
    <col min="14562" max="14562" width="8.85546875" style="62" customWidth="1"/>
    <col min="14563" max="14563" width="10.42578125" style="62" customWidth="1"/>
    <col min="14564" max="14564" width="9.28515625" style="62" customWidth="1"/>
    <col min="14565" max="14565" width="8.42578125" style="62" customWidth="1"/>
    <col min="14566" max="14566" width="8.28515625" style="62" customWidth="1"/>
    <col min="14567" max="14567" width="8.42578125" style="62" customWidth="1"/>
    <col min="14568" max="14568" width="9.140625" style="62" customWidth="1"/>
    <col min="14569" max="14569" width="7.85546875" style="62" customWidth="1"/>
    <col min="14570" max="14570" width="9" style="62" customWidth="1"/>
    <col min="14571" max="14571" width="9.28515625" style="62" customWidth="1"/>
    <col min="14572" max="14572" width="8.5703125" style="62" customWidth="1"/>
    <col min="14573" max="14809" width="9.140625" style="62"/>
    <col min="14810" max="14810" width="7.7109375" style="62" customWidth="1"/>
    <col min="14811" max="14811" width="7" style="62" customWidth="1"/>
    <col min="14812" max="14812" width="5" style="62" customWidth="1"/>
    <col min="14813" max="14813" width="6.42578125" style="62" customWidth="1"/>
    <col min="14814" max="14814" width="5.5703125" style="62" customWidth="1"/>
    <col min="14815" max="14815" width="34.85546875" style="62" customWidth="1"/>
    <col min="14816" max="14816" width="9.42578125" style="62" customWidth="1"/>
    <col min="14817" max="14817" width="7.5703125" style="62" customWidth="1"/>
    <col min="14818" max="14818" width="8.85546875" style="62" customWidth="1"/>
    <col min="14819" max="14819" width="10.42578125" style="62" customWidth="1"/>
    <col min="14820" max="14820" width="9.28515625" style="62" customWidth="1"/>
    <col min="14821" max="14821" width="8.42578125" style="62" customWidth="1"/>
    <col min="14822" max="14822" width="8.28515625" style="62" customWidth="1"/>
    <col min="14823" max="14823" width="8.42578125" style="62" customWidth="1"/>
    <col min="14824" max="14824" width="9.140625" style="62" customWidth="1"/>
    <col min="14825" max="14825" width="7.85546875" style="62" customWidth="1"/>
    <col min="14826" max="14826" width="9" style="62" customWidth="1"/>
    <col min="14827" max="14827" width="9.28515625" style="62" customWidth="1"/>
    <col min="14828" max="14828" width="8.5703125" style="62" customWidth="1"/>
    <col min="14829" max="15065" width="9.140625" style="62"/>
    <col min="15066" max="15066" width="7.7109375" style="62" customWidth="1"/>
    <col min="15067" max="15067" width="7" style="62" customWidth="1"/>
    <col min="15068" max="15068" width="5" style="62" customWidth="1"/>
    <col min="15069" max="15069" width="6.42578125" style="62" customWidth="1"/>
    <col min="15070" max="15070" width="5.5703125" style="62" customWidth="1"/>
    <col min="15071" max="15071" width="34.85546875" style="62" customWidth="1"/>
    <col min="15072" max="15072" width="9.42578125" style="62" customWidth="1"/>
    <col min="15073" max="15073" width="7.5703125" style="62" customWidth="1"/>
    <col min="15074" max="15074" width="8.85546875" style="62" customWidth="1"/>
    <col min="15075" max="15075" width="10.42578125" style="62" customWidth="1"/>
    <col min="15076" max="15076" width="9.28515625" style="62" customWidth="1"/>
    <col min="15077" max="15077" width="8.42578125" style="62" customWidth="1"/>
    <col min="15078" max="15078" width="8.28515625" style="62" customWidth="1"/>
    <col min="15079" max="15079" width="8.42578125" style="62" customWidth="1"/>
    <col min="15080" max="15080" width="9.140625" style="62" customWidth="1"/>
    <col min="15081" max="15081" width="7.85546875" style="62" customWidth="1"/>
    <col min="15082" max="15082" width="9" style="62" customWidth="1"/>
    <col min="15083" max="15083" width="9.28515625" style="62" customWidth="1"/>
    <col min="15084" max="15084" width="8.5703125" style="62" customWidth="1"/>
    <col min="15085" max="15321" width="9.140625" style="62"/>
    <col min="15322" max="15322" width="7.7109375" style="62" customWidth="1"/>
    <col min="15323" max="15323" width="7" style="62" customWidth="1"/>
    <col min="15324" max="15324" width="5" style="62" customWidth="1"/>
    <col min="15325" max="15325" width="6.42578125" style="62" customWidth="1"/>
    <col min="15326" max="15326" width="5.5703125" style="62" customWidth="1"/>
    <col min="15327" max="15327" width="34.85546875" style="62" customWidth="1"/>
    <col min="15328" max="15328" width="9.42578125" style="62" customWidth="1"/>
    <col min="15329" max="15329" width="7.5703125" style="62" customWidth="1"/>
    <col min="15330" max="15330" width="8.85546875" style="62" customWidth="1"/>
    <col min="15331" max="15331" width="10.42578125" style="62" customWidth="1"/>
    <col min="15332" max="15332" width="9.28515625" style="62" customWidth="1"/>
    <col min="15333" max="15333" width="8.42578125" style="62" customWidth="1"/>
    <col min="15334" max="15334" width="8.28515625" style="62" customWidth="1"/>
    <col min="15335" max="15335" width="8.42578125" style="62" customWidth="1"/>
    <col min="15336" max="15336" width="9.140625" style="62" customWidth="1"/>
    <col min="15337" max="15337" width="7.85546875" style="62" customWidth="1"/>
    <col min="15338" max="15338" width="9" style="62" customWidth="1"/>
    <col min="15339" max="15339" width="9.28515625" style="62" customWidth="1"/>
    <col min="15340" max="15340" width="8.5703125" style="62" customWidth="1"/>
    <col min="15341" max="15577" width="9.140625" style="62"/>
    <col min="15578" max="15578" width="7.7109375" style="62" customWidth="1"/>
    <col min="15579" max="15579" width="7" style="62" customWidth="1"/>
    <col min="15580" max="15580" width="5" style="62" customWidth="1"/>
    <col min="15581" max="15581" width="6.42578125" style="62" customWidth="1"/>
    <col min="15582" max="15582" width="5.5703125" style="62" customWidth="1"/>
    <col min="15583" max="15583" width="34.85546875" style="62" customWidth="1"/>
    <col min="15584" max="15584" width="9.42578125" style="62" customWidth="1"/>
    <col min="15585" max="15585" width="7.5703125" style="62" customWidth="1"/>
    <col min="15586" max="15586" width="8.85546875" style="62" customWidth="1"/>
    <col min="15587" max="15587" width="10.42578125" style="62" customWidth="1"/>
    <col min="15588" max="15588" width="9.28515625" style="62" customWidth="1"/>
    <col min="15589" max="15589" width="8.42578125" style="62" customWidth="1"/>
    <col min="15590" max="15590" width="8.28515625" style="62" customWidth="1"/>
    <col min="15591" max="15591" width="8.42578125" style="62" customWidth="1"/>
    <col min="15592" max="15592" width="9.140625" style="62" customWidth="1"/>
    <col min="15593" max="15593" width="7.85546875" style="62" customWidth="1"/>
    <col min="15594" max="15594" width="9" style="62" customWidth="1"/>
    <col min="15595" max="15595" width="9.28515625" style="62" customWidth="1"/>
    <col min="15596" max="15596" width="8.5703125" style="62" customWidth="1"/>
    <col min="15597" max="15833" width="9.140625" style="62"/>
    <col min="15834" max="15834" width="7.7109375" style="62" customWidth="1"/>
    <col min="15835" max="15835" width="7" style="62" customWidth="1"/>
    <col min="15836" max="15836" width="5" style="62" customWidth="1"/>
    <col min="15837" max="15837" width="6.42578125" style="62" customWidth="1"/>
    <col min="15838" max="15838" width="5.5703125" style="62" customWidth="1"/>
    <col min="15839" max="15839" width="34.85546875" style="62" customWidth="1"/>
    <col min="15840" max="15840" width="9.42578125" style="62" customWidth="1"/>
    <col min="15841" max="15841" width="7.5703125" style="62" customWidth="1"/>
    <col min="15842" max="15842" width="8.85546875" style="62" customWidth="1"/>
    <col min="15843" max="15843" width="10.42578125" style="62" customWidth="1"/>
    <col min="15844" max="15844" width="9.28515625" style="62" customWidth="1"/>
    <col min="15845" max="15845" width="8.42578125" style="62" customWidth="1"/>
    <col min="15846" max="15846" width="8.28515625" style="62" customWidth="1"/>
    <col min="15847" max="15847" width="8.42578125" style="62" customWidth="1"/>
    <col min="15848" max="15848" width="9.140625" style="62" customWidth="1"/>
    <col min="15849" max="15849" width="7.85546875" style="62" customWidth="1"/>
    <col min="15850" max="15850" width="9" style="62" customWidth="1"/>
    <col min="15851" max="15851" width="9.28515625" style="62" customWidth="1"/>
    <col min="15852" max="15852" width="8.5703125" style="62" customWidth="1"/>
    <col min="15853" max="16089" width="9.140625" style="62"/>
    <col min="16090" max="16090" width="7.7109375" style="62" customWidth="1"/>
    <col min="16091" max="16091" width="7" style="62" customWidth="1"/>
    <col min="16092" max="16092" width="5" style="62" customWidth="1"/>
    <col min="16093" max="16093" width="6.42578125" style="62" customWidth="1"/>
    <col min="16094" max="16094" width="5.5703125" style="62" customWidth="1"/>
    <col min="16095" max="16095" width="34.85546875" style="62" customWidth="1"/>
    <col min="16096" max="16096" width="9.42578125" style="62" customWidth="1"/>
    <col min="16097" max="16097" width="7.5703125" style="62" customWidth="1"/>
    <col min="16098" max="16098" width="8.85546875" style="62" customWidth="1"/>
    <col min="16099" max="16099" width="10.42578125" style="62" customWidth="1"/>
    <col min="16100" max="16100" width="9.28515625" style="62" customWidth="1"/>
    <col min="16101" max="16101" width="8.42578125" style="62" customWidth="1"/>
    <col min="16102" max="16102" width="8.28515625" style="62" customWidth="1"/>
    <col min="16103" max="16103" width="8.42578125" style="62" customWidth="1"/>
    <col min="16104" max="16104" width="9.140625" style="62" customWidth="1"/>
    <col min="16105" max="16105" width="7.85546875" style="62" customWidth="1"/>
    <col min="16106" max="16106" width="9" style="62" customWidth="1"/>
    <col min="16107" max="16107" width="9.28515625" style="62" customWidth="1"/>
    <col min="16108" max="16108" width="8.5703125" style="62" customWidth="1"/>
    <col min="16109" max="16384" width="9.140625" style="62"/>
  </cols>
  <sheetData>
    <row r="1" spans="1:20">
      <c r="D1" s="7"/>
      <c r="F1" s="1" t="s">
        <v>164</v>
      </c>
      <c r="G1" s="1"/>
      <c r="H1" s="2"/>
    </row>
    <row r="2" spans="1:20" ht="3.75" customHeight="1">
      <c r="D2" s="7"/>
      <c r="F2" s="1"/>
      <c r="G2" s="1"/>
      <c r="H2" s="2"/>
    </row>
    <row r="3" spans="1:20" ht="12.75" customHeight="1">
      <c r="A3" s="150" t="s">
        <v>72</v>
      </c>
      <c r="B3" s="152" t="s">
        <v>73</v>
      </c>
      <c r="C3" s="153" t="s">
        <v>74</v>
      </c>
      <c r="D3" s="153" t="s">
        <v>75</v>
      </c>
      <c r="E3" s="153" t="s">
        <v>76</v>
      </c>
      <c r="F3" s="148" t="s">
        <v>77</v>
      </c>
      <c r="G3" s="144" t="s">
        <v>137</v>
      </c>
      <c r="H3" s="144" t="s">
        <v>138</v>
      </c>
      <c r="I3" s="144"/>
      <c r="J3" s="144" t="s">
        <v>141</v>
      </c>
      <c r="K3" s="147" t="s">
        <v>142</v>
      </c>
      <c r="L3" s="147"/>
      <c r="M3" s="147"/>
      <c r="N3" s="144" t="s">
        <v>146</v>
      </c>
      <c r="O3" s="145" t="s">
        <v>147</v>
      </c>
      <c r="P3" s="144" t="s">
        <v>148</v>
      </c>
      <c r="Q3" s="145" t="s">
        <v>149</v>
      </c>
      <c r="R3" s="146" t="s">
        <v>39</v>
      </c>
      <c r="S3" s="146" t="s">
        <v>150</v>
      </c>
    </row>
    <row r="4" spans="1:20" ht="36.75" customHeight="1">
      <c r="A4" s="151"/>
      <c r="B4" s="152"/>
      <c r="C4" s="154"/>
      <c r="D4" s="154"/>
      <c r="E4" s="154"/>
      <c r="F4" s="149"/>
      <c r="G4" s="144"/>
      <c r="H4" s="128" t="s">
        <v>139</v>
      </c>
      <c r="I4" s="128" t="s">
        <v>140</v>
      </c>
      <c r="J4" s="144"/>
      <c r="K4" s="128" t="s">
        <v>143</v>
      </c>
      <c r="L4" s="128" t="s">
        <v>144</v>
      </c>
      <c r="M4" s="22" t="s">
        <v>145</v>
      </c>
      <c r="N4" s="144"/>
      <c r="O4" s="145"/>
      <c r="P4" s="144"/>
      <c r="Q4" s="145"/>
      <c r="R4" s="146"/>
      <c r="S4" s="146"/>
    </row>
    <row r="5" spans="1:20" ht="25.5">
      <c r="A5" s="21">
        <v>256</v>
      </c>
      <c r="B5" s="8"/>
      <c r="C5" s="8"/>
      <c r="D5" s="8"/>
      <c r="E5" s="8"/>
      <c r="F5" s="129" t="s">
        <v>78</v>
      </c>
      <c r="G5" s="40">
        <f t="shared" ref="G5:M5" si="0">G6+G154+G175+G198+G225+G251+G275+G329</f>
        <v>17032809</v>
      </c>
      <c r="H5" s="40">
        <f t="shared" si="0"/>
        <v>10284503.4</v>
      </c>
      <c r="I5" s="40">
        <f t="shared" si="0"/>
        <v>9791537.5999999996</v>
      </c>
      <c r="J5" s="24">
        <f t="shared" si="0"/>
        <v>10189498.362270001</v>
      </c>
      <c r="K5" s="24">
        <f t="shared" si="0"/>
        <v>1187978.7896299998</v>
      </c>
      <c r="L5" s="24">
        <f t="shared" si="0"/>
        <v>1288526.35005</v>
      </c>
      <c r="M5" s="24">
        <f t="shared" si="0"/>
        <v>9784654.3805400003</v>
      </c>
      <c r="N5" s="35">
        <f t="shared" ref="N5:N8" si="1">I5-M5</f>
        <v>6883.2194599993527</v>
      </c>
      <c r="O5" s="66">
        <f>M5/I5*100</f>
        <v>99.929702364008705</v>
      </c>
      <c r="P5" s="60">
        <f t="shared" ref="P5:P8" si="2">J5-M5</f>
        <v>404843.98173000105</v>
      </c>
      <c r="Q5" s="35">
        <f>H5-J5</f>
        <v>95005.03772999905</v>
      </c>
      <c r="R5" s="74">
        <v>1103576</v>
      </c>
      <c r="S5" s="74">
        <f t="shared" ref="S5:S8" si="3">G5-M5</f>
        <v>7248154.6194599997</v>
      </c>
    </row>
    <row r="6" spans="1:20" ht="25.5">
      <c r="A6" s="8"/>
      <c r="B6" s="17">
        <v>1261</v>
      </c>
      <c r="C6" s="8"/>
      <c r="D6" s="9"/>
      <c r="E6" s="9"/>
      <c r="F6" s="130" t="s">
        <v>79</v>
      </c>
      <c r="G6" s="42">
        <f>G7+G13+G35+G39+G42+G45+G147+G151</f>
        <v>5300225</v>
      </c>
      <c r="H6" s="42">
        <f>H7+H13+H35+H39+H42+H45+H147+H151</f>
        <v>3387362.6999999997</v>
      </c>
      <c r="I6" s="42">
        <f>I7+I13+I35+I39+I42+I45+I147+I151</f>
        <v>3352114.5</v>
      </c>
      <c r="J6" s="29">
        <f>J7+J13+J35+J39+J42+J45+J147+J151</f>
        <v>3361919.8454800001</v>
      </c>
      <c r="K6" s="29">
        <f>'1.02.'!M6</f>
        <v>305263.96490999998</v>
      </c>
      <c r="L6" s="42">
        <f>L7+L13+L35+L39+L42+L45+L147+L151</f>
        <v>493783.59509999998</v>
      </c>
      <c r="M6" s="29">
        <f>M7+M13+M35+M39+M42+M45+M147+M151</f>
        <v>3352033.0001599998</v>
      </c>
      <c r="N6" s="35">
        <f t="shared" si="1"/>
        <v>81.499840000178665</v>
      </c>
      <c r="O6" s="66">
        <f t="shared" ref="O6:O70" si="4">M6/I6*100</f>
        <v>99.997568703574998</v>
      </c>
      <c r="P6" s="29">
        <f t="shared" si="2"/>
        <v>9886.8453200003132</v>
      </c>
      <c r="Q6" s="35">
        <f t="shared" ref="Q6:Q69" si="5">H6-J6</f>
        <v>25442.854519999586</v>
      </c>
      <c r="R6" s="74">
        <v>1103577</v>
      </c>
      <c r="S6" s="74">
        <f>G6-M6</f>
        <v>1948191.9998400002</v>
      </c>
    </row>
    <row r="7" spans="1:20">
      <c r="A7" s="8"/>
      <c r="B7" s="8"/>
      <c r="C7" s="17" t="s">
        <v>36</v>
      </c>
      <c r="D7" s="9"/>
      <c r="E7" s="9"/>
      <c r="F7" s="131" t="s">
        <v>80</v>
      </c>
      <c r="G7" s="42">
        <f>G8+G10</f>
        <v>2050255</v>
      </c>
      <c r="H7" s="42">
        <f t="shared" ref="H7:M7" si="6">H8+H10</f>
        <v>1863803.5</v>
      </c>
      <c r="I7" s="42">
        <f t="shared" si="6"/>
        <v>1863248.5</v>
      </c>
      <c r="J7" s="29">
        <f t="shared" si="6"/>
        <v>1863248.4062099999</v>
      </c>
      <c r="K7" s="29">
        <f>'1.02.'!M7</f>
        <v>164988.70772999999</v>
      </c>
      <c r="L7" s="42">
        <f t="shared" si="6"/>
        <v>368964</v>
      </c>
      <c r="M7" s="29">
        <f t="shared" si="6"/>
        <v>1863248.4062099999</v>
      </c>
      <c r="N7" s="35">
        <f t="shared" si="1"/>
        <v>9.3790000071749091E-2</v>
      </c>
      <c r="O7" s="68">
        <f t="shared" si="4"/>
        <v>99.999994966318226</v>
      </c>
      <c r="P7" s="60">
        <f t="shared" si="2"/>
        <v>0</v>
      </c>
      <c r="Q7" s="35">
        <f t="shared" si="5"/>
        <v>555.09379000007175</v>
      </c>
      <c r="R7" s="74">
        <v>1103578</v>
      </c>
      <c r="S7" s="74">
        <f t="shared" si="3"/>
        <v>187006.59379000007</v>
      </c>
    </row>
    <row r="8" spans="1:20" ht="38.25">
      <c r="A8" s="8"/>
      <c r="B8" s="8"/>
      <c r="C8" s="8"/>
      <c r="D8" s="21">
        <v>102</v>
      </c>
      <c r="E8" s="69"/>
      <c r="F8" s="132" t="s">
        <v>81</v>
      </c>
      <c r="G8" s="59">
        <f t="shared" ref="G8:M8" si="7">G9</f>
        <v>2014974</v>
      </c>
      <c r="H8" s="59">
        <f t="shared" si="7"/>
        <v>1837384</v>
      </c>
      <c r="I8" s="59">
        <f t="shared" si="7"/>
        <v>1837384</v>
      </c>
      <c r="J8" s="33">
        <f>J9</f>
        <v>1837384</v>
      </c>
      <c r="K8" s="29">
        <f>'1.02.'!M8</f>
        <v>150000</v>
      </c>
      <c r="L8" s="29">
        <f t="shared" si="7"/>
        <v>368964</v>
      </c>
      <c r="M8" s="29">
        <f t="shared" si="7"/>
        <v>1837384</v>
      </c>
      <c r="N8" s="35">
        <f t="shared" si="1"/>
        <v>0</v>
      </c>
      <c r="O8" s="68">
        <f t="shared" si="4"/>
        <v>100</v>
      </c>
      <c r="P8" s="60">
        <f t="shared" si="2"/>
        <v>0</v>
      </c>
      <c r="Q8" s="35">
        <f t="shared" si="5"/>
        <v>0</v>
      </c>
      <c r="R8" s="74">
        <v>1103579</v>
      </c>
      <c r="S8" s="74">
        <f t="shared" si="3"/>
        <v>177590</v>
      </c>
    </row>
    <row r="9" spans="1:20">
      <c r="A9" s="8"/>
      <c r="B9" s="8"/>
      <c r="C9" s="8"/>
      <c r="D9" s="69"/>
      <c r="E9" s="69">
        <v>322</v>
      </c>
      <c r="F9" s="133" t="s">
        <v>82</v>
      </c>
      <c r="G9" s="26">
        <v>2014974</v>
      </c>
      <c r="H9" s="37">
        <v>1837384</v>
      </c>
      <c r="I9" s="37">
        <v>1837384</v>
      </c>
      <c r="J9" s="75">
        <f>M9</f>
        <v>1837384</v>
      </c>
      <c r="K9" s="35">
        <f>'1.09'!M9</f>
        <v>1468420</v>
      </c>
      <c r="L9" s="35">
        <v>368964</v>
      </c>
      <c r="M9" s="35">
        <f>K9+L9</f>
        <v>1837384</v>
      </c>
      <c r="N9" s="35">
        <f>I9-M9</f>
        <v>0</v>
      </c>
      <c r="O9" s="70">
        <f t="shared" si="4"/>
        <v>100</v>
      </c>
      <c r="P9" s="71">
        <f>J9-M9</f>
        <v>0</v>
      </c>
      <c r="Q9" s="35">
        <f t="shared" si="5"/>
        <v>0</v>
      </c>
      <c r="R9" s="72">
        <v>1103580</v>
      </c>
      <c r="S9" s="72">
        <f>G9-M9</f>
        <v>177590</v>
      </c>
      <c r="T9" s="62">
        <f>G9-J9</f>
        <v>177590</v>
      </c>
    </row>
    <row r="10" spans="1:20" s="73" customFormat="1" ht="25.5">
      <c r="A10" s="8"/>
      <c r="B10" s="8"/>
      <c r="C10" s="8"/>
      <c r="D10" s="21">
        <v>106</v>
      </c>
      <c r="E10" s="21"/>
      <c r="F10" s="134" t="s">
        <v>83</v>
      </c>
      <c r="G10" s="59">
        <f>G11+G12</f>
        <v>35281</v>
      </c>
      <c r="H10" s="59">
        <f t="shared" ref="H10:M10" si="8">H11+H12</f>
        <v>26419.5</v>
      </c>
      <c r="I10" s="59">
        <f t="shared" si="8"/>
        <v>25864.5</v>
      </c>
      <c r="J10" s="33">
        <f>J11+J12</f>
        <v>25864.406210000001</v>
      </c>
      <c r="K10" s="29">
        <f>'1.02.'!M10</f>
        <v>14988.70773</v>
      </c>
      <c r="L10" s="29">
        <f t="shared" si="8"/>
        <v>0</v>
      </c>
      <c r="M10" s="29">
        <f t="shared" si="8"/>
        <v>25864.406210000001</v>
      </c>
      <c r="N10" s="35">
        <f t="shared" ref="N10:N73" si="9">I10-M10</f>
        <v>9.3789999998989515E-2</v>
      </c>
      <c r="O10" s="68">
        <f t="shared" si="4"/>
        <v>99.999637379419667</v>
      </c>
      <c r="P10" s="60">
        <f t="shared" ref="P10:P74" si="10">J10-M10</f>
        <v>0</v>
      </c>
      <c r="Q10" s="35">
        <f t="shared" si="5"/>
        <v>555.09378999999899</v>
      </c>
      <c r="R10" s="74">
        <v>1103581</v>
      </c>
      <c r="S10" s="74">
        <f t="shared" ref="S10:S74" si="11">G10-M10</f>
        <v>9416.593789999999</v>
      </c>
      <c r="T10" s="62">
        <f t="shared" ref="T10:T45" si="12">G10-J10</f>
        <v>9416.593789999999</v>
      </c>
    </row>
    <row r="11" spans="1:20">
      <c r="A11" s="8"/>
      <c r="B11" s="8"/>
      <c r="C11" s="8"/>
      <c r="D11" s="69"/>
      <c r="E11" s="69">
        <v>159</v>
      </c>
      <c r="F11" s="50" t="s">
        <v>84</v>
      </c>
      <c r="G11" s="26">
        <v>1745</v>
      </c>
      <c r="H11" s="37">
        <v>1745</v>
      </c>
      <c r="I11" s="37">
        <v>1190</v>
      </c>
      <c r="J11" s="75">
        <v>1190</v>
      </c>
      <c r="K11" s="35">
        <f>'1.07. '!M11</f>
        <v>1190</v>
      </c>
      <c r="L11" s="35"/>
      <c r="M11" s="35">
        <f>K11+L11</f>
        <v>1190</v>
      </c>
      <c r="N11" s="35">
        <f t="shared" si="9"/>
        <v>0</v>
      </c>
      <c r="O11" s="70">
        <f t="shared" si="4"/>
        <v>100</v>
      </c>
      <c r="P11" s="71">
        <f>J11-M11</f>
        <v>0</v>
      </c>
      <c r="Q11" s="35">
        <f t="shared" si="5"/>
        <v>555</v>
      </c>
      <c r="R11" s="72">
        <v>1103582</v>
      </c>
      <c r="S11" s="72">
        <f t="shared" si="11"/>
        <v>555</v>
      </c>
      <c r="T11" s="62">
        <f t="shared" si="12"/>
        <v>555</v>
      </c>
    </row>
    <row r="12" spans="1:20">
      <c r="A12" s="8"/>
      <c r="B12" s="8"/>
      <c r="C12" s="8"/>
      <c r="D12" s="69"/>
      <c r="E12" s="69">
        <v>322</v>
      </c>
      <c r="F12" s="133" t="s">
        <v>82</v>
      </c>
      <c r="G12" s="26">
        <f>163536-130000</f>
        <v>33536</v>
      </c>
      <c r="H12" s="37">
        <v>24674.5</v>
      </c>
      <c r="I12" s="37">
        <v>24674.5</v>
      </c>
      <c r="J12" s="75">
        <f>M12</f>
        <v>24674.406210000001</v>
      </c>
      <c r="K12" s="35">
        <f>'1.07. '!M12</f>
        <v>24674.406210000001</v>
      </c>
      <c r="L12" s="35"/>
      <c r="M12" s="35">
        <f>K12+L12</f>
        <v>24674.406210000001</v>
      </c>
      <c r="N12" s="35">
        <f t="shared" si="9"/>
        <v>9.3789999998989515E-2</v>
      </c>
      <c r="O12" s="70">
        <f t="shared" si="4"/>
        <v>99.999619890980568</v>
      </c>
      <c r="P12" s="71">
        <f t="shared" si="10"/>
        <v>0</v>
      </c>
      <c r="Q12" s="35">
        <f t="shared" si="5"/>
        <v>9.3789999998989515E-2</v>
      </c>
      <c r="R12" s="72">
        <v>1103583</v>
      </c>
      <c r="S12" s="72">
        <f t="shared" si="11"/>
        <v>8861.593789999999</v>
      </c>
      <c r="T12" s="62">
        <f t="shared" si="12"/>
        <v>8861.593789999999</v>
      </c>
    </row>
    <row r="13" spans="1:20" ht="38.25">
      <c r="A13" s="8"/>
      <c r="B13" s="8"/>
      <c r="C13" s="17" t="s">
        <v>37</v>
      </c>
      <c r="D13" s="69"/>
      <c r="E13" s="69"/>
      <c r="F13" s="67" t="s">
        <v>151</v>
      </c>
      <c r="G13" s="59">
        <f t="shared" ref="G13:M13" si="13">G14</f>
        <v>272229</v>
      </c>
      <c r="H13" s="33">
        <f t="shared" si="13"/>
        <v>197647.4</v>
      </c>
      <c r="I13" s="33">
        <f t="shared" si="13"/>
        <v>194812.19999999998</v>
      </c>
      <c r="J13" s="29">
        <f t="shared" si="13"/>
        <v>197567.73026999997</v>
      </c>
      <c r="K13" s="29">
        <f>'1.02.'!M13</f>
        <v>15275.257180000001</v>
      </c>
      <c r="L13" s="29">
        <f t="shared" si="13"/>
        <v>17347.610209999999</v>
      </c>
      <c r="M13" s="29">
        <f t="shared" si="13"/>
        <v>194730.9718</v>
      </c>
      <c r="N13" s="35">
        <f t="shared" si="9"/>
        <v>81.22819999998319</v>
      </c>
      <c r="O13" s="68">
        <f t="shared" si="4"/>
        <v>99.958304356708666</v>
      </c>
      <c r="P13" s="71">
        <f t="shared" si="10"/>
        <v>2836.7584699999716</v>
      </c>
      <c r="Q13" s="35">
        <f t="shared" si="5"/>
        <v>79.669730000023264</v>
      </c>
      <c r="R13" s="72">
        <v>1103584</v>
      </c>
      <c r="S13" s="72">
        <f t="shared" si="11"/>
        <v>77498.028200000001</v>
      </c>
      <c r="T13" s="62">
        <f t="shared" si="12"/>
        <v>74661.269730000029</v>
      </c>
    </row>
    <row r="14" spans="1:20">
      <c r="A14" s="8"/>
      <c r="B14" s="8"/>
      <c r="C14" s="8"/>
      <c r="D14" s="17" t="s">
        <v>7</v>
      </c>
      <c r="E14" s="10"/>
      <c r="F14" s="135" t="s">
        <v>85</v>
      </c>
      <c r="G14" s="59">
        <f>SUM(G15:G34)</f>
        <v>272229</v>
      </c>
      <c r="H14" s="59">
        <f t="shared" ref="H14:K14" si="14">SUM(H15:H34)</f>
        <v>197647.4</v>
      </c>
      <c r="I14" s="59">
        <f>SUM(I15:I34)</f>
        <v>194812.19999999998</v>
      </c>
      <c r="J14" s="29">
        <f t="shared" si="14"/>
        <v>197567.73026999997</v>
      </c>
      <c r="K14" s="29">
        <f t="shared" si="14"/>
        <v>177383.36159000001</v>
      </c>
      <c r="L14" s="29">
        <f>SUM(L15:L34)</f>
        <v>17347.610209999999</v>
      </c>
      <c r="M14" s="29">
        <f t="shared" ref="M14" si="15">SUM(M15:M34)</f>
        <v>194730.9718</v>
      </c>
      <c r="N14" s="35">
        <f t="shared" si="9"/>
        <v>81.22819999998319</v>
      </c>
      <c r="O14" s="68">
        <f t="shared" si="4"/>
        <v>99.958304356708666</v>
      </c>
      <c r="P14" s="35">
        <f t="shared" si="10"/>
        <v>2836.7584699999716</v>
      </c>
      <c r="Q14" s="35">
        <f t="shared" si="5"/>
        <v>79.669730000023264</v>
      </c>
      <c r="R14" s="72">
        <v>1103585</v>
      </c>
      <c r="S14" s="72">
        <f t="shared" si="11"/>
        <v>77498.028200000001</v>
      </c>
      <c r="T14" s="62">
        <f>G14-J14</f>
        <v>74661.269730000029</v>
      </c>
    </row>
    <row r="15" spans="1:20" s="73" customFormat="1">
      <c r="A15" s="9"/>
      <c r="B15" s="9"/>
      <c r="C15" s="9"/>
      <c r="D15" s="69"/>
      <c r="E15" s="69">
        <v>111</v>
      </c>
      <c r="F15" s="136" t="s">
        <v>86</v>
      </c>
      <c r="G15" s="26">
        <f>121539-1020-413.7-2369</f>
        <v>117736.3</v>
      </c>
      <c r="H15" s="26">
        <v>86197.3</v>
      </c>
      <c r="I15" s="26">
        <v>86197.3</v>
      </c>
      <c r="J15" s="75">
        <f t="shared" ref="J15:J34" si="16">M15</f>
        <v>86197.3</v>
      </c>
      <c r="K15" s="35">
        <f>'1.09'!M15</f>
        <v>76197.3</v>
      </c>
      <c r="L15" s="27">
        <v>10000</v>
      </c>
      <c r="M15" s="35">
        <f>K15+L15</f>
        <v>86197.3</v>
      </c>
      <c r="N15" s="35">
        <f t="shared" si="9"/>
        <v>0</v>
      </c>
      <c r="O15" s="70">
        <f t="shared" si="4"/>
        <v>100</v>
      </c>
      <c r="P15" s="71">
        <f t="shared" si="10"/>
        <v>0</v>
      </c>
      <c r="Q15" s="35">
        <f t="shared" si="5"/>
        <v>0</v>
      </c>
      <c r="R15" s="72">
        <v>1103586</v>
      </c>
      <c r="S15" s="72">
        <f t="shared" si="11"/>
        <v>31539</v>
      </c>
      <c r="T15" s="62">
        <f t="shared" si="12"/>
        <v>31539</v>
      </c>
    </row>
    <row r="16" spans="1:20">
      <c r="A16" s="9"/>
      <c r="B16" s="9"/>
      <c r="C16" s="9"/>
      <c r="D16" s="69"/>
      <c r="E16" s="69">
        <v>112</v>
      </c>
      <c r="F16" s="136" t="s">
        <v>87</v>
      </c>
      <c r="G16" s="26">
        <f>17318+7540+642.7+10108.4</f>
        <v>35609.1</v>
      </c>
      <c r="H16" s="26">
        <v>35609.1</v>
      </c>
      <c r="I16" s="26">
        <v>35609.1</v>
      </c>
      <c r="J16" s="75">
        <f t="shared" si="16"/>
        <v>35609.06</v>
      </c>
      <c r="K16" s="35">
        <f>'1.09'!M16</f>
        <v>35609.06</v>
      </c>
      <c r="L16" s="27"/>
      <c r="M16" s="35">
        <f t="shared" ref="M16:M34" si="17">K16+L16</f>
        <v>35609.06</v>
      </c>
      <c r="N16" s="35">
        <f t="shared" si="9"/>
        <v>4.0000000000873115E-2</v>
      </c>
      <c r="O16" s="70">
        <f t="shared" si="4"/>
        <v>99.999887669163215</v>
      </c>
      <c r="P16" s="71">
        <f t="shared" si="10"/>
        <v>0</v>
      </c>
      <c r="Q16" s="35">
        <f t="shared" si="5"/>
        <v>4.0000000000873115E-2</v>
      </c>
      <c r="R16" s="72">
        <v>1103587</v>
      </c>
      <c r="S16" s="72">
        <f t="shared" si="11"/>
        <v>4.0000000000873115E-2</v>
      </c>
      <c r="T16" s="62">
        <f t="shared" si="12"/>
        <v>4.0000000000873115E-2</v>
      </c>
    </row>
    <row r="17" spans="1:20">
      <c r="A17" s="9"/>
      <c r="B17" s="9"/>
      <c r="C17" s="9"/>
      <c r="D17" s="69"/>
      <c r="E17" s="76">
        <v>113</v>
      </c>
      <c r="F17" s="136" t="s">
        <v>88</v>
      </c>
      <c r="G17" s="26">
        <v>20256</v>
      </c>
      <c r="H17" s="26">
        <v>17869.599999999999</v>
      </c>
      <c r="I17" s="26">
        <v>17869.599999999999</v>
      </c>
      <c r="J17" s="75">
        <f t="shared" si="16"/>
        <v>17846.016</v>
      </c>
      <c r="K17" s="35">
        <f>'1.09'!M17</f>
        <v>15075.246000000001</v>
      </c>
      <c r="L17" s="27">
        <v>2770.77</v>
      </c>
      <c r="M17" s="35">
        <f t="shared" si="17"/>
        <v>17846.016</v>
      </c>
      <c r="N17" s="35">
        <f t="shared" si="9"/>
        <v>23.583999999998923</v>
      </c>
      <c r="O17" s="70">
        <f t="shared" si="4"/>
        <v>99.868021668084353</v>
      </c>
      <c r="P17" s="71">
        <f t="shared" si="10"/>
        <v>0</v>
      </c>
      <c r="Q17" s="35">
        <f t="shared" si="5"/>
        <v>23.583999999998923</v>
      </c>
      <c r="R17" s="72">
        <v>1103588</v>
      </c>
      <c r="S17" s="72">
        <f t="shared" si="11"/>
        <v>2409.9840000000004</v>
      </c>
      <c r="T17" s="62">
        <f t="shared" si="12"/>
        <v>2409.9840000000004</v>
      </c>
    </row>
    <row r="18" spans="1:20">
      <c r="A18" s="9"/>
      <c r="B18" s="9"/>
      <c r="C18" s="9"/>
      <c r="D18" s="69"/>
      <c r="E18" s="69">
        <v>116</v>
      </c>
      <c r="F18" s="136" t="s">
        <v>89</v>
      </c>
      <c r="G18" s="26">
        <f>4860-300-110-100</f>
        <v>4350</v>
      </c>
      <c r="H18" s="26">
        <v>3325</v>
      </c>
      <c r="I18" s="26">
        <v>3325</v>
      </c>
      <c r="J18" s="75">
        <f t="shared" si="16"/>
        <v>3321.453</v>
      </c>
      <c r="K18" s="35">
        <f>'1.09'!M18</f>
        <v>3061.201</v>
      </c>
      <c r="L18" s="27">
        <v>260.25200000000001</v>
      </c>
      <c r="M18" s="35">
        <f>K18+L18</f>
        <v>3321.453</v>
      </c>
      <c r="N18" s="35">
        <f t="shared" si="9"/>
        <v>3.5470000000000255</v>
      </c>
      <c r="O18" s="70">
        <f>M18/I18*100</f>
        <v>99.893323308270681</v>
      </c>
      <c r="P18" s="71">
        <f t="shared" si="10"/>
        <v>0</v>
      </c>
      <c r="Q18" s="35">
        <f t="shared" si="5"/>
        <v>3.5470000000000255</v>
      </c>
      <c r="R18" s="72">
        <v>1103589</v>
      </c>
      <c r="S18" s="72">
        <f t="shared" si="11"/>
        <v>1028.547</v>
      </c>
      <c r="T18" s="62">
        <f t="shared" si="12"/>
        <v>1028.547</v>
      </c>
    </row>
    <row r="19" spans="1:20" s="73" customFormat="1">
      <c r="A19" s="9"/>
      <c r="B19" s="9"/>
      <c r="C19" s="9"/>
      <c r="D19" s="69"/>
      <c r="E19" s="69">
        <v>121</v>
      </c>
      <c r="F19" s="136" t="s">
        <v>90</v>
      </c>
      <c r="G19" s="26">
        <v>8331</v>
      </c>
      <c r="H19" s="26">
        <v>6667</v>
      </c>
      <c r="I19" s="26">
        <v>6667</v>
      </c>
      <c r="J19" s="75">
        <f t="shared" si="16"/>
        <v>6667</v>
      </c>
      <c r="K19" s="35">
        <f>'1.09'!M19</f>
        <v>6064</v>
      </c>
      <c r="L19" s="27">
        <v>603</v>
      </c>
      <c r="M19" s="35">
        <f t="shared" si="17"/>
        <v>6667</v>
      </c>
      <c r="N19" s="35">
        <f t="shared" si="9"/>
        <v>0</v>
      </c>
      <c r="O19" s="70">
        <f t="shared" si="4"/>
        <v>100</v>
      </c>
      <c r="P19" s="71">
        <f t="shared" si="10"/>
        <v>0</v>
      </c>
      <c r="Q19" s="35">
        <f t="shared" si="5"/>
        <v>0</v>
      </c>
      <c r="R19" s="72">
        <v>1103590</v>
      </c>
      <c r="S19" s="72">
        <f t="shared" si="11"/>
        <v>1664</v>
      </c>
      <c r="T19" s="62">
        <f t="shared" si="12"/>
        <v>1664</v>
      </c>
    </row>
    <row r="20" spans="1:20" s="73" customFormat="1">
      <c r="A20" s="9"/>
      <c r="B20" s="9"/>
      <c r="C20" s="9"/>
      <c r="D20" s="69"/>
      <c r="E20" s="69">
        <v>122</v>
      </c>
      <c r="F20" s="136" t="s">
        <v>91</v>
      </c>
      <c r="G20" s="26">
        <f>6943-520-65-200</f>
        <v>6158</v>
      </c>
      <c r="H20" s="26">
        <v>4768</v>
      </c>
      <c r="I20" s="26">
        <v>4768</v>
      </c>
      <c r="J20" s="75">
        <f t="shared" si="16"/>
        <v>4747.0189299999993</v>
      </c>
      <c r="K20" s="35">
        <f>'1.09'!M20</f>
        <v>4334.1139299999995</v>
      </c>
      <c r="L20" s="27">
        <v>412.90499999999997</v>
      </c>
      <c r="M20" s="35">
        <f t="shared" si="17"/>
        <v>4747.0189299999993</v>
      </c>
      <c r="N20" s="35">
        <f t="shared" si="9"/>
        <v>20.981070000000727</v>
      </c>
      <c r="O20" s="70">
        <f t="shared" si="4"/>
        <v>99.559960780201322</v>
      </c>
      <c r="P20" s="71">
        <f t="shared" si="10"/>
        <v>0</v>
      </c>
      <c r="Q20" s="35">
        <f t="shared" si="5"/>
        <v>20.981070000000727</v>
      </c>
      <c r="R20" s="72">
        <v>1103591</v>
      </c>
      <c r="S20" s="72">
        <f t="shared" si="11"/>
        <v>1410.9810700000007</v>
      </c>
      <c r="T20" s="62">
        <f t="shared" si="12"/>
        <v>1410.9810700000007</v>
      </c>
    </row>
    <row r="21" spans="1:20" s="73" customFormat="1">
      <c r="A21" s="9"/>
      <c r="B21" s="9"/>
      <c r="C21" s="9"/>
      <c r="D21" s="69"/>
      <c r="E21" s="69">
        <v>123</v>
      </c>
      <c r="F21" s="136" t="s">
        <v>92</v>
      </c>
      <c r="G21" s="26">
        <v>63</v>
      </c>
      <c r="H21" s="26">
        <v>30</v>
      </c>
      <c r="I21" s="26">
        <v>30</v>
      </c>
      <c r="J21" s="75">
        <f t="shared" si="16"/>
        <v>0</v>
      </c>
      <c r="K21" s="35">
        <f>'1.09'!M21</f>
        <v>0</v>
      </c>
      <c r="L21" s="27"/>
      <c r="M21" s="35">
        <f t="shared" si="17"/>
        <v>0</v>
      </c>
      <c r="N21" s="35">
        <f t="shared" si="9"/>
        <v>30</v>
      </c>
      <c r="O21" s="70">
        <f t="shared" si="4"/>
        <v>0</v>
      </c>
      <c r="P21" s="71">
        <f t="shared" si="10"/>
        <v>0</v>
      </c>
      <c r="Q21" s="35">
        <f t="shared" si="5"/>
        <v>30</v>
      </c>
      <c r="R21" s="72">
        <v>1103592</v>
      </c>
      <c r="S21" s="72">
        <f t="shared" si="11"/>
        <v>63</v>
      </c>
      <c r="T21" s="62">
        <f t="shared" si="12"/>
        <v>63</v>
      </c>
    </row>
    <row r="22" spans="1:20" s="73" customFormat="1">
      <c r="A22" s="9"/>
      <c r="B22" s="9"/>
      <c r="C22" s="9"/>
      <c r="D22" s="69"/>
      <c r="E22" s="69">
        <v>124</v>
      </c>
      <c r="F22" s="136" t="s">
        <v>93</v>
      </c>
      <c r="G22" s="26">
        <f>4166-200-54</f>
        <v>3912</v>
      </c>
      <c r="H22" s="26">
        <v>2957</v>
      </c>
      <c r="I22" s="26">
        <v>2957</v>
      </c>
      <c r="J22" s="75">
        <f t="shared" si="16"/>
        <v>2955.9738399999997</v>
      </c>
      <c r="K22" s="35">
        <f>'1.09'!M22</f>
        <v>2718.7108399999997</v>
      </c>
      <c r="L22" s="27">
        <v>237.26300000000001</v>
      </c>
      <c r="M22" s="35">
        <f t="shared" si="17"/>
        <v>2955.9738399999997</v>
      </c>
      <c r="N22" s="35">
        <f t="shared" si="9"/>
        <v>1.0261600000003455</v>
      </c>
      <c r="O22" s="70">
        <f t="shared" si="4"/>
        <v>99.965297260737216</v>
      </c>
      <c r="P22" s="71">
        <f t="shared" si="10"/>
        <v>0</v>
      </c>
      <c r="Q22" s="35">
        <f t="shared" si="5"/>
        <v>1.0261600000003455</v>
      </c>
      <c r="R22" s="72">
        <v>1103593</v>
      </c>
      <c r="S22" s="72">
        <f t="shared" si="11"/>
        <v>956.02616000000035</v>
      </c>
      <c r="T22" s="62">
        <f t="shared" si="12"/>
        <v>956.02616000000035</v>
      </c>
    </row>
    <row r="23" spans="1:20" s="73" customFormat="1">
      <c r="A23" s="9"/>
      <c r="B23" s="9"/>
      <c r="C23" s="9"/>
      <c r="D23" s="69"/>
      <c r="E23" s="69">
        <v>131</v>
      </c>
      <c r="F23" s="136" t="s">
        <v>94</v>
      </c>
      <c r="G23" s="26">
        <v>19333</v>
      </c>
      <c r="H23" s="26">
        <v>13718</v>
      </c>
      <c r="I23" s="26">
        <v>13718</v>
      </c>
      <c r="J23" s="75">
        <f t="shared" si="16"/>
        <v>13717.753000000001</v>
      </c>
      <c r="K23" s="35">
        <f>'1.09'!M23</f>
        <v>12518</v>
      </c>
      <c r="L23" s="27">
        <v>1199.7529999999999</v>
      </c>
      <c r="M23" s="35">
        <f t="shared" si="17"/>
        <v>13717.753000000001</v>
      </c>
      <c r="N23" s="35">
        <f t="shared" si="9"/>
        <v>0.24699999999938882</v>
      </c>
      <c r="O23" s="70">
        <f t="shared" si="4"/>
        <v>99.998199445983389</v>
      </c>
      <c r="P23" s="71">
        <f t="shared" si="10"/>
        <v>0</v>
      </c>
      <c r="Q23" s="35">
        <f t="shared" si="5"/>
        <v>0.24699999999938882</v>
      </c>
      <c r="R23" s="72">
        <v>1103594</v>
      </c>
      <c r="S23" s="72">
        <f t="shared" si="11"/>
        <v>5615.2469999999994</v>
      </c>
      <c r="T23" s="62">
        <f t="shared" si="12"/>
        <v>5615.2469999999994</v>
      </c>
    </row>
    <row r="24" spans="1:20" s="73" customFormat="1">
      <c r="A24" s="9"/>
      <c r="B24" s="9"/>
      <c r="C24" s="9"/>
      <c r="D24" s="69"/>
      <c r="E24" s="69">
        <v>135</v>
      </c>
      <c r="F24" s="136" t="s">
        <v>95</v>
      </c>
      <c r="G24" s="26">
        <v>3129</v>
      </c>
      <c r="H24" s="26">
        <v>1687</v>
      </c>
      <c r="I24" s="26">
        <v>1687</v>
      </c>
      <c r="J24" s="75">
        <f t="shared" si="16"/>
        <v>1687</v>
      </c>
      <c r="K24" s="35">
        <f>'1.09'!M24</f>
        <v>1561</v>
      </c>
      <c r="L24" s="27">
        <v>126</v>
      </c>
      <c r="M24" s="35">
        <f t="shared" si="17"/>
        <v>1687</v>
      </c>
      <c r="N24" s="35">
        <f t="shared" si="9"/>
        <v>0</v>
      </c>
      <c r="O24" s="70">
        <f t="shared" si="4"/>
        <v>100</v>
      </c>
      <c r="P24" s="71">
        <f t="shared" si="10"/>
        <v>0</v>
      </c>
      <c r="Q24" s="35">
        <f t="shared" si="5"/>
        <v>0</v>
      </c>
      <c r="R24" s="72">
        <v>1103595</v>
      </c>
      <c r="S24" s="72">
        <f t="shared" si="11"/>
        <v>1442</v>
      </c>
      <c r="T24" s="62">
        <f t="shared" si="12"/>
        <v>1442</v>
      </c>
    </row>
    <row r="25" spans="1:20" s="73" customFormat="1" hidden="1">
      <c r="A25" s="9"/>
      <c r="B25" s="9"/>
      <c r="C25" s="9"/>
      <c r="D25" s="69"/>
      <c r="E25" s="69">
        <v>136</v>
      </c>
      <c r="F25" s="136" t="s">
        <v>96</v>
      </c>
      <c r="G25" s="26"/>
      <c r="H25" s="26"/>
      <c r="I25" s="26"/>
      <c r="J25" s="75">
        <f t="shared" si="16"/>
        <v>0</v>
      </c>
      <c r="K25" s="35">
        <f>'1.09'!M25</f>
        <v>0</v>
      </c>
      <c r="L25" s="27"/>
      <c r="M25" s="35">
        <f t="shared" si="17"/>
        <v>0</v>
      </c>
      <c r="N25" s="35">
        <f t="shared" si="9"/>
        <v>0</v>
      </c>
      <c r="O25" s="70" t="e">
        <f t="shared" si="4"/>
        <v>#DIV/0!</v>
      </c>
      <c r="P25" s="71">
        <f t="shared" si="10"/>
        <v>0</v>
      </c>
      <c r="Q25" s="35">
        <f t="shared" si="5"/>
        <v>0</v>
      </c>
      <c r="R25" s="72">
        <v>1103596</v>
      </c>
      <c r="S25" s="72">
        <f t="shared" si="11"/>
        <v>0</v>
      </c>
      <c r="T25" s="62">
        <f t="shared" si="12"/>
        <v>0</v>
      </c>
    </row>
    <row r="26" spans="1:20">
      <c r="A26" s="9"/>
      <c r="B26" s="9"/>
      <c r="C26" s="9"/>
      <c r="D26" s="69"/>
      <c r="E26" s="69">
        <v>144</v>
      </c>
      <c r="F26" s="136" t="s">
        <v>97</v>
      </c>
      <c r="G26" s="26">
        <v>2075</v>
      </c>
      <c r="H26" s="26">
        <v>2075</v>
      </c>
      <c r="I26" s="26">
        <v>2075</v>
      </c>
      <c r="J26" s="75">
        <v>2074.99856</v>
      </c>
      <c r="K26" s="35">
        <f>'1.09'!M26</f>
        <v>2074.99856</v>
      </c>
      <c r="L26" s="27"/>
      <c r="M26" s="35">
        <f t="shared" si="17"/>
        <v>2074.99856</v>
      </c>
      <c r="N26" s="35">
        <f t="shared" si="9"/>
        <v>1.4400000000023283E-3</v>
      </c>
      <c r="O26" s="70">
        <f t="shared" si="4"/>
        <v>99.999930602409634</v>
      </c>
      <c r="P26" s="71">
        <f t="shared" si="10"/>
        <v>0</v>
      </c>
      <c r="Q26" s="35">
        <f t="shared" si="5"/>
        <v>1.4400000000023283E-3</v>
      </c>
      <c r="R26" s="72">
        <v>1103597</v>
      </c>
      <c r="S26" s="72">
        <f t="shared" si="11"/>
        <v>1.4400000000023283E-3</v>
      </c>
      <c r="T26" s="62">
        <f t="shared" si="12"/>
        <v>1.4400000000023283E-3</v>
      </c>
    </row>
    <row r="27" spans="1:20">
      <c r="A27" s="9"/>
      <c r="B27" s="9"/>
      <c r="C27" s="9"/>
      <c r="D27" s="69"/>
      <c r="E27" s="69">
        <v>149</v>
      </c>
      <c r="F27" s="136" t="s">
        <v>98</v>
      </c>
      <c r="G27" s="26">
        <v>4170</v>
      </c>
      <c r="H27" s="26">
        <v>478.4</v>
      </c>
      <c r="I27" s="26">
        <v>478.4</v>
      </c>
      <c r="J27" s="75">
        <f>M27</f>
        <v>478.30374</v>
      </c>
      <c r="K27" s="35">
        <f>'1.09'!M27</f>
        <v>464.31374</v>
      </c>
      <c r="L27" s="27">
        <v>13.99</v>
      </c>
      <c r="M27" s="35">
        <f t="shared" si="17"/>
        <v>478.30374</v>
      </c>
      <c r="N27" s="35">
        <f t="shared" si="9"/>
        <v>9.6259999999972479E-2</v>
      </c>
      <c r="O27" s="70">
        <f t="shared" si="4"/>
        <v>99.979878762541802</v>
      </c>
      <c r="P27" s="71">
        <f t="shared" si="10"/>
        <v>0</v>
      </c>
      <c r="Q27" s="35">
        <f t="shared" si="5"/>
        <v>9.6259999999972479E-2</v>
      </c>
      <c r="R27" s="72">
        <v>1103598</v>
      </c>
      <c r="S27" s="72">
        <f t="shared" si="11"/>
        <v>3691.6962600000002</v>
      </c>
      <c r="T27" s="62">
        <f t="shared" si="12"/>
        <v>3691.6962600000002</v>
      </c>
    </row>
    <row r="28" spans="1:20">
      <c r="A28" s="9"/>
      <c r="B28" s="9"/>
      <c r="C28" s="9"/>
      <c r="D28" s="69"/>
      <c r="E28" s="69">
        <v>151</v>
      </c>
      <c r="F28" s="136" t="s">
        <v>99</v>
      </c>
      <c r="G28" s="26">
        <f>10733+8578</f>
        <v>19311</v>
      </c>
      <c r="H28" s="26">
        <v>7090</v>
      </c>
      <c r="I28" s="26">
        <v>7090</v>
      </c>
      <c r="J28" s="75">
        <f t="shared" si="16"/>
        <v>7089.9940299999998</v>
      </c>
      <c r="K28" s="35">
        <f>'1.09'!M28</f>
        <v>6696.5155500000001</v>
      </c>
      <c r="L28" s="27">
        <v>393.47847999999999</v>
      </c>
      <c r="M28" s="35">
        <f t="shared" si="17"/>
        <v>7089.9940299999998</v>
      </c>
      <c r="N28" s="35">
        <f t="shared" si="9"/>
        <v>5.9700000001612352E-3</v>
      </c>
      <c r="O28" s="70">
        <f t="shared" si="4"/>
        <v>99.999915796897028</v>
      </c>
      <c r="P28" s="71">
        <f t="shared" si="10"/>
        <v>0</v>
      </c>
      <c r="Q28" s="35">
        <f t="shared" si="5"/>
        <v>5.9700000001612352E-3</v>
      </c>
      <c r="R28" s="72">
        <v>1103599</v>
      </c>
      <c r="S28" s="72">
        <f t="shared" si="11"/>
        <v>12221.00597</v>
      </c>
      <c r="T28" s="62">
        <f t="shared" si="12"/>
        <v>12221.00597</v>
      </c>
    </row>
    <row r="29" spans="1:20">
      <c r="A29" s="9"/>
      <c r="B29" s="9"/>
      <c r="C29" s="9"/>
      <c r="D29" s="69"/>
      <c r="E29" s="69">
        <v>152</v>
      </c>
      <c r="F29" s="136" t="s">
        <v>100</v>
      </c>
      <c r="G29" s="26">
        <f>7302-555</f>
        <v>6747</v>
      </c>
      <c r="H29" s="26">
        <v>5416.5</v>
      </c>
      <c r="I29" s="26">
        <v>3371.3</v>
      </c>
      <c r="J29" s="75">
        <v>5416.4143599999998</v>
      </c>
      <c r="K29" s="35">
        <f>'1.09'!M29</f>
        <v>2964.7768499999997</v>
      </c>
      <c r="L29" s="27">
        <v>406.44817999999998</v>
      </c>
      <c r="M29" s="35">
        <f t="shared" si="17"/>
        <v>3371.2250299999996</v>
      </c>
      <c r="N29" s="35">
        <f t="shared" si="9"/>
        <v>7.4970000000575965E-2</v>
      </c>
      <c r="O29" s="70">
        <f t="shared" si="4"/>
        <v>99.997776228754461</v>
      </c>
      <c r="P29" s="71">
        <f t="shared" si="10"/>
        <v>2045.1893300000002</v>
      </c>
      <c r="Q29" s="35">
        <f t="shared" si="5"/>
        <v>8.5640000000239525E-2</v>
      </c>
      <c r="R29" s="72">
        <v>1103600</v>
      </c>
      <c r="S29" s="72">
        <f t="shared" si="11"/>
        <v>3375.7749700000004</v>
      </c>
      <c r="T29" s="62">
        <f t="shared" si="12"/>
        <v>1330.5856400000002</v>
      </c>
    </row>
    <row r="30" spans="1:20">
      <c r="A30" s="9"/>
      <c r="B30" s="9"/>
      <c r="C30" s="9"/>
      <c r="D30" s="69"/>
      <c r="E30" s="69">
        <v>158</v>
      </c>
      <c r="F30" s="136" t="s">
        <v>101</v>
      </c>
      <c r="G30" s="26">
        <v>730</v>
      </c>
      <c r="H30" s="26">
        <v>730</v>
      </c>
      <c r="I30" s="26">
        <v>549</v>
      </c>
      <c r="J30" s="75">
        <v>730</v>
      </c>
      <c r="K30" s="35">
        <f>'1.09'!M30</f>
        <v>486.66399999999987</v>
      </c>
      <c r="L30" s="27">
        <v>60.832999999999998</v>
      </c>
      <c r="M30" s="35">
        <f t="shared" si="17"/>
        <v>547.49699999999984</v>
      </c>
      <c r="N30" s="35">
        <f t="shared" si="9"/>
        <v>1.5030000000001564</v>
      </c>
      <c r="O30" s="70">
        <f t="shared" si="4"/>
        <v>99.726229508196695</v>
      </c>
      <c r="P30" s="71">
        <f t="shared" si="10"/>
        <v>182.50300000000016</v>
      </c>
      <c r="Q30" s="35">
        <f t="shared" si="5"/>
        <v>0</v>
      </c>
      <c r="R30" s="72">
        <v>1103601</v>
      </c>
      <c r="S30" s="72">
        <f t="shared" si="11"/>
        <v>182.50300000000016</v>
      </c>
      <c r="T30" s="62">
        <f t="shared" si="12"/>
        <v>0</v>
      </c>
    </row>
    <row r="31" spans="1:20">
      <c r="A31" s="9"/>
      <c r="B31" s="9"/>
      <c r="C31" s="9"/>
      <c r="D31" s="69"/>
      <c r="E31" s="69">
        <v>159</v>
      </c>
      <c r="F31" s="136" t="s">
        <v>84</v>
      </c>
      <c r="G31" s="26">
        <f>2649+450+3000</f>
        <v>6099</v>
      </c>
      <c r="H31" s="26">
        <v>3346.9</v>
      </c>
      <c r="I31" s="26">
        <v>2737.9</v>
      </c>
      <c r="J31" s="35">
        <v>3346.8799899999999</v>
      </c>
      <c r="K31" s="35">
        <f>'1.09'!M31</f>
        <v>2375.5383000000002</v>
      </c>
      <c r="L31" s="27">
        <v>362.27555000000001</v>
      </c>
      <c r="M31" s="35">
        <f t="shared" si="17"/>
        <v>2737.81385</v>
      </c>
      <c r="N31" s="35">
        <f t="shared" si="9"/>
        <v>8.6150000000088767E-2</v>
      </c>
      <c r="O31" s="70">
        <f t="shared" si="4"/>
        <v>99.996853427809626</v>
      </c>
      <c r="P31" s="71">
        <f t="shared" si="10"/>
        <v>609.0661399999999</v>
      </c>
      <c r="Q31" s="35">
        <f t="shared" si="5"/>
        <v>2.0010000000183936E-2</v>
      </c>
      <c r="R31" s="72">
        <v>1103602</v>
      </c>
      <c r="S31" s="72">
        <f t="shared" si="11"/>
        <v>3361.18615</v>
      </c>
      <c r="T31" s="62">
        <f t="shared" si="12"/>
        <v>2752.1200100000001</v>
      </c>
    </row>
    <row r="32" spans="1:20" s="73" customFormat="1">
      <c r="A32" s="9"/>
      <c r="B32" s="9"/>
      <c r="C32" s="9"/>
      <c r="D32" s="69"/>
      <c r="E32" s="69">
        <v>161</v>
      </c>
      <c r="F32" s="136" t="s">
        <v>102</v>
      </c>
      <c r="G32" s="26">
        <f>27054-450-5500-5-6884.4-2</f>
        <v>14212.6</v>
      </c>
      <c r="H32" s="26">
        <v>5675.6</v>
      </c>
      <c r="I32" s="26">
        <v>5675.6</v>
      </c>
      <c r="J32" s="75">
        <f t="shared" si="16"/>
        <v>5675.6</v>
      </c>
      <c r="K32" s="35">
        <f>'1.09'!M32</f>
        <v>5174.9580000000005</v>
      </c>
      <c r="L32" s="27">
        <v>500.642</v>
      </c>
      <c r="M32" s="35">
        <f t="shared" si="17"/>
        <v>5675.6</v>
      </c>
      <c r="N32" s="35">
        <f t="shared" si="9"/>
        <v>0</v>
      </c>
      <c r="O32" s="70">
        <f t="shared" si="4"/>
        <v>100</v>
      </c>
      <c r="P32" s="71">
        <f t="shared" si="10"/>
        <v>0</v>
      </c>
      <c r="Q32" s="35">
        <f t="shared" si="5"/>
        <v>0</v>
      </c>
      <c r="R32" s="72">
        <v>1103603</v>
      </c>
      <c r="S32" s="72">
        <f t="shared" si="11"/>
        <v>8537</v>
      </c>
      <c r="T32" s="62">
        <f t="shared" si="12"/>
        <v>8537</v>
      </c>
    </row>
    <row r="33" spans="1:20" s="73" customFormat="1">
      <c r="A33" s="9"/>
      <c r="B33" s="9"/>
      <c r="C33" s="9"/>
      <c r="D33" s="69"/>
      <c r="E33" s="69">
        <v>168</v>
      </c>
      <c r="F33" s="136" t="s">
        <v>167</v>
      </c>
      <c r="G33" s="26">
        <f>5+2</f>
        <v>7</v>
      </c>
      <c r="H33" s="26">
        <v>7</v>
      </c>
      <c r="I33" s="26">
        <v>7</v>
      </c>
      <c r="J33" s="75">
        <f t="shared" si="16"/>
        <v>6.9648199999999996</v>
      </c>
      <c r="K33" s="35">
        <f>'1.09'!M33</f>
        <v>6.9648199999999996</v>
      </c>
      <c r="L33" s="27"/>
      <c r="M33" s="35">
        <f t="shared" si="17"/>
        <v>6.9648199999999996</v>
      </c>
      <c r="N33" s="35">
        <f t="shared" si="9"/>
        <v>3.5180000000000433E-2</v>
      </c>
      <c r="O33" s="70">
        <f t="shared" si="4"/>
        <v>99.497428571428571</v>
      </c>
      <c r="P33" s="71">
        <f t="shared" si="10"/>
        <v>0</v>
      </c>
      <c r="Q33" s="35">
        <f t="shared" si="5"/>
        <v>3.5180000000000433E-2</v>
      </c>
      <c r="R33" s="72">
        <v>1103604</v>
      </c>
      <c r="S33" s="72">
        <f t="shared" si="11"/>
        <v>3.5180000000000433E-2</v>
      </c>
      <c r="T33" s="62"/>
    </row>
    <row r="34" spans="1:20" s="73" customFormat="1" hidden="1">
      <c r="A34" s="9"/>
      <c r="B34" s="9"/>
      <c r="C34" s="9"/>
      <c r="D34" s="69"/>
      <c r="E34" s="69">
        <v>169</v>
      </c>
      <c r="F34" s="3" t="s">
        <v>5</v>
      </c>
      <c r="G34" s="26"/>
      <c r="H34" s="26"/>
      <c r="I34" s="26"/>
      <c r="J34" s="75">
        <f t="shared" si="16"/>
        <v>0</v>
      </c>
      <c r="K34" s="35">
        <f>'1.09'!M34</f>
        <v>0</v>
      </c>
      <c r="L34" s="27"/>
      <c r="M34" s="35">
        <f t="shared" si="17"/>
        <v>0</v>
      </c>
      <c r="N34" s="35">
        <f t="shared" si="9"/>
        <v>0</v>
      </c>
      <c r="O34" s="70" t="e">
        <f t="shared" si="4"/>
        <v>#DIV/0!</v>
      </c>
      <c r="P34" s="71">
        <f t="shared" si="10"/>
        <v>0</v>
      </c>
      <c r="Q34" s="35">
        <f t="shared" si="5"/>
        <v>0</v>
      </c>
      <c r="R34" s="72">
        <v>1103604</v>
      </c>
      <c r="S34" s="72">
        <f t="shared" si="11"/>
        <v>0</v>
      </c>
      <c r="T34" s="62">
        <f t="shared" si="12"/>
        <v>0</v>
      </c>
    </row>
    <row r="35" spans="1:20">
      <c r="A35" s="9"/>
      <c r="B35" s="9"/>
      <c r="C35" s="8" t="s">
        <v>16</v>
      </c>
      <c r="D35" s="69"/>
      <c r="E35" s="69"/>
      <c r="F35" s="120" t="s">
        <v>104</v>
      </c>
      <c r="G35" s="23">
        <f>G36+G37+G38</f>
        <v>9750</v>
      </c>
      <c r="H35" s="23">
        <f t="shared" ref="H35:M35" si="18">H36+H37+H38</f>
        <v>400</v>
      </c>
      <c r="I35" s="23">
        <f t="shared" si="18"/>
        <v>400</v>
      </c>
      <c r="J35" s="23">
        <f t="shared" si="18"/>
        <v>399.98500000000001</v>
      </c>
      <c r="K35" s="35">
        <f>'1.05.'!M34</f>
        <v>0</v>
      </c>
      <c r="L35" s="24">
        <f t="shared" si="18"/>
        <v>399.98500000000001</v>
      </c>
      <c r="M35" s="24">
        <f t="shared" si="18"/>
        <v>399.98500000000001</v>
      </c>
      <c r="N35" s="35">
        <f t="shared" si="9"/>
        <v>1.4999999999986358E-2</v>
      </c>
      <c r="O35" s="70">
        <f t="shared" si="4"/>
        <v>99.996250000000003</v>
      </c>
      <c r="P35" s="71">
        <f t="shared" si="10"/>
        <v>0</v>
      </c>
      <c r="Q35" s="35">
        <f t="shared" si="5"/>
        <v>1.4999999999986358E-2</v>
      </c>
      <c r="R35" s="72">
        <v>1103605</v>
      </c>
      <c r="S35" s="72">
        <f t="shared" si="11"/>
        <v>9350.0149999999994</v>
      </c>
      <c r="T35" s="62">
        <f t="shared" si="12"/>
        <v>9350.0149999999994</v>
      </c>
    </row>
    <row r="36" spans="1:20" hidden="1">
      <c r="A36" s="9"/>
      <c r="B36" s="9"/>
      <c r="C36" s="8"/>
      <c r="D36" s="69"/>
      <c r="E36" s="69">
        <v>413</v>
      </c>
      <c r="F36" s="78" t="s">
        <v>17</v>
      </c>
      <c r="G36" s="26"/>
      <c r="H36" s="26"/>
      <c r="I36" s="26"/>
      <c r="J36" s="105"/>
      <c r="K36" s="35">
        <f>'1.05.'!M35</f>
        <v>0</v>
      </c>
      <c r="L36" s="27"/>
      <c r="M36" s="35">
        <f t="shared" ref="M36:M38" si="19">K36+L36</f>
        <v>0</v>
      </c>
      <c r="N36" s="35">
        <f t="shared" si="9"/>
        <v>0</v>
      </c>
      <c r="O36" s="70" t="e">
        <f t="shared" si="4"/>
        <v>#DIV/0!</v>
      </c>
      <c r="P36" s="71">
        <f t="shared" si="10"/>
        <v>0</v>
      </c>
      <c r="Q36" s="35">
        <f t="shared" si="5"/>
        <v>0</v>
      </c>
      <c r="R36" s="72">
        <v>1103606</v>
      </c>
      <c r="S36" s="72">
        <f t="shared" si="11"/>
        <v>0</v>
      </c>
      <c r="T36" s="62">
        <f t="shared" si="12"/>
        <v>0</v>
      </c>
    </row>
    <row r="37" spans="1:20" ht="25.5">
      <c r="A37" s="9"/>
      <c r="B37" s="9"/>
      <c r="C37" s="9"/>
      <c r="D37" s="69"/>
      <c r="E37" s="69">
        <v>414</v>
      </c>
      <c r="F37" s="50" t="s">
        <v>105</v>
      </c>
      <c r="G37" s="26">
        <f>2325+7425</f>
        <v>9750</v>
      </c>
      <c r="H37" s="26">
        <v>400</v>
      </c>
      <c r="I37" s="26">
        <v>400</v>
      </c>
      <c r="J37" s="105">
        <v>399.98500000000001</v>
      </c>
      <c r="K37" s="35">
        <f>'1.05.'!M36</f>
        <v>0</v>
      </c>
      <c r="L37" s="27">
        <v>399.98500000000001</v>
      </c>
      <c r="M37" s="35">
        <f t="shared" si="19"/>
        <v>399.98500000000001</v>
      </c>
      <c r="N37" s="35">
        <f t="shared" si="9"/>
        <v>1.4999999999986358E-2</v>
      </c>
      <c r="O37" s="70">
        <f t="shared" si="4"/>
        <v>99.996250000000003</v>
      </c>
      <c r="P37" s="71">
        <f t="shared" si="10"/>
        <v>0</v>
      </c>
      <c r="Q37" s="35">
        <f t="shared" si="5"/>
        <v>1.4999999999986358E-2</v>
      </c>
      <c r="R37" s="72">
        <v>1103607</v>
      </c>
      <c r="S37" s="72">
        <f t="shared" si="11"/>
        <v>9350.0149999999994</v>
      </c>
      <c r="T37" s="62">
        <f t="shared" si="12"/>
        <v>9350.0149999999994</v>
      </c>
    </row>
    <row r="38" spans="1:20" hidden="1">
      <c r="A38" s="9"/>
      <c r="B38" s="9"/>
      <c r="C38" s="9"/>
      <c r="D38" s="69"/>
      <c r="E38" s="69">
        <v>419</v>
      </c>
      <c r="F38" s="86" t="s">
        <v>57</v>
      </c>
      <c r="G38" s="26"/>
      <c r="H38" s="26"/>
      <c r="I38" s="26"/>
      <c r="J38" s="105">
        <f>M38</f>
        <v>0</v>
      </c>
      <c r="K38" s="35">
        <f>'1.05.'!M37</f>
        <v>0</v>
      </c>
      <c r="L38" s="27"/>
      <c r="M38" s="35">
        <f t="shared" si="19"/>
        <v>0</v>
      </c>
      <c r="N38" s="35">
        <f t="shared" si="9"/>
        <v>0</v>
      </c>
      <c r="O38" s="70" t="e">
        <f t="shared" si="4"/>
        <v>#DIV/0!</v>
      </c>
      <c r="P38" s="71">
        <f t="shared" si="10"/>
        <v>0</v>
      </c>
      <c r="Q38" s="35">
        <f t="shared" si="5"/>
        <v>0</v>
      </c>
      <c r="R38" s="72">
        <v>1103608</v>
      </c>
      <c r="S38" s="72">
        <f t="shared" si="11"/>
        <v>0</v>
      </c>
    </row>
    <row r="39" spans="1:20" ht="25.5">
      <c r="A39" s="9"/>
      <c r="B39" s="9"/>
      <c r="C39" s="8" t="s">
        <v>15</v>
      </c>
      <c r="D39" s="21"/>
      <c r="E39" s="21"/>
      <c r="F39" s="120" t="s">
        <v>106</v>
      </c>
      <c r="G39" s="59">
        <f t="shared" ref="G39:M39" si="20">G40</f>
        <v>10400</v>
      </c>
      <c r="H39" s="59">
        <f t="shared" si="20"/>
        <v>10400</v>
      </c>
      <c r="I39" s="59">
        <f>I40</f>
        <v>0</v>
      </c>
      <c r="J39" s="33">
        <f t="shared" si="20"/>
        <v>2100</v>
      </c>
      <c r="K39" s="35">
        <f>'1.02.'!M38</f>
        <v>0</v>
      </c>
      <c r="L39" s="29">
        <f t="shared" si="20"/>
        <v>0</v>
      </c>
      <c r="M39" s="29">
        <f t="shared" si="20"/>
        <v>0</v>
      </c>
      <c r="N39" s="35">
        <f t="shared" si="9"/>
        <v>0</v>
      </c>
      <c r="O39" s="70" t="e">
        <f t="shared" si="4"/>
        <v>#DIV/0!</v>
      </c>
      <c r="P39" s="71">
        <f t="shared" si="10"/>
        <v>2100</v>
      </c>
      <c r="Q39" s="35">
        <f t="shared" si="5"/>
        <v>8300</v>
      </c>
      <c r="R39" s="72">
        <v>1103609</v>
      </c>
      <c r="S39" s="72">
        <f t="shared" si="11"/>
        <v>10400</v>
      </c>
      <c r="T39" s="62">
        <f t="shared" si="12"/>
        <v>8300</v>
      </c>
    </row>
    <row r="40" spans="1:20">
      <c r="A40" s="9"/>
      <c r="B40" s="9"/>
      <c r="C40" s="8"/>
      <c r="D40" s="54" t="s">
        <v>35</v>
      </c>
      <c r="E40" s="69"/>
      <c r="F40" s="122"/>
      <c r="G40" s="37">
        <f>G41</f>
        <v>10400</v>
      </c>
      <c r="H40" s="37">
        <f>H41</f>
        <v>10400</v>
      </c>
      <c r="I40" s="37">
        <f>I41</f>
        <v>0</v>
      </c>
      <c r="J40" s="75">
        <f>J41</f>
        <v>2100</v>
      </c>
      <c r="K40" s="35">
        <f>'1.02.'!M39</f>
        <v>0</v>
      </c>
      <c r="L40" s="35"/>
      <c r="M40" s="35">
        <f>M41</f>
        <v>0</v>
      </c>
      <c r="N40" s="35">
        <f t="shared" si="9"/>
        <v>0</v>
      </c>
      <c r="O40" s="70" t="e">
        <f t="shared" si="4"/>
        <v>#DIV/0!</v>
      </c>
      <c r="P40" s="71">
        <f t="shared" si="10"/>
        <v>2100</v>
      </c>
      <c r="Q40" s="35">
        <f t="shared" si="5"/>
        <v>8300</v>
      </c>
      <c r="R40" s="72">
        <v>1103610</v>
      </c>
      <c r="S40" s="72">
        <f t="shared" si="11"/>
        <v>10400</v>
      </c>
      <c r="T40" s="62">
        <f t="shared" si="12"/>
        <v>8300</v>
      </c>
    </row>
    <row r="41" spans="1:20" ht="25.5">
      <c r="A41" s="9"/>
      <c r="B41" s="9"/>
      <c r="C41" s="9"/>
      <c r="D41" s="69"/>
      <c r="E41" s="69">
        <v>155</v>
      </c>
      <c r="F41" s="117" t="s">
        <v>107</v>
      </c>
      <c r="G41" s="37">
        <v>10400</v>
      </c>
      <c r="H41" s="37">
        <v>10400</v>
      </c>
      <c r="I41" s="37">
        <v>0</v>
      </c>
      <c r="J41" s="75">
        <v>2100</v>
      </c>
      <c r="K41" s="35">
        <f>'1.06.'!M41</f>
        <v>0</v>
      </c>
      <c r="L41" s="35"/>
      <c r="M41" s="35">
        <f t="shared" ref="M41" si="21">K41+L41</f>
        <v>0</v>
      </c>
      <c r="N41" s="35">
        <f t="shared" si="9"/>
        <v>0</v>
      </c>
      <c r="O41" s="70" t="e">
        <f t="shared" si="4"/>
        <v>#DIV/0!</v>
      </c>
      <c r="P41" s="71">
        <f t="shared" si="10"/>
        <v>2100</v>
      </c>
      <c r="Q41" s="35">
        <f t="shared" si="5"/>
        <v>8300</v>
      </c>
      <c r="R41" s="72">
        <v>1103611</v>
      </c>
      <c r="S41" s="72">
        <f t="shared" si="11"/>
        <v>10400</v>
      </c>
      <c r="T41" s="62">
        <f t="shared" si="12"/>
        <v>8300</v>
      </c>
    </row>
    <row r="42" spans="1:20" s="73" customFormat="1" ht="38.25">
      <c r="A42" s="116"/>
      <c r="B42" s="116"/>
      <c r="C42" s="119" t="s">
        <v>61</v>
      </c>
      <c r="D42" s="116"/>
      <c r="E42" s="116"/>
      <c r="F42" s="120" t="s">
        <v>62</v>
      </c>
      <c r="G42" s="59">
        <f t="shared" ref="G42:M43" si="22">G43</f>
        <v>1064315</v>
      </c>
      <c r="H42" s="59">
        <f t="shared" si="22"/>
        <v>89931.8</v>
      </c>
      <c r="I42" s="59">
        <f t="shared" si="22"/>
        <v>89931.8</v>
      </c>
      <c r="J42" s="33">
        <f t="shared" si="22"/>
        <v>89931.724000000002</v>
      </c>
      <c r="K42" s="33">
        <f t="shared" si="22"/>
        <v>63281.534240000001</v>
      </c>
      <c r="L42" s="33">
        <f t="shared" si="22"/>
        <v>26650.189760000001</v>
      </c>
      <c r="M42" s="29">
        <f t="shared" si="22"/>
        <v>89931.724000000002</v>
      </c>
      <c r="N42" s="35">
        <f t="shared" si="9"/>
        <v>7.6000000000931323E-2</v>
      </c>
      <c r="O42" s="68">
        <f t="shared" si="4"/>
        <v>99.999915491516902</v>
      </c>
      <c r="P42" s="60">
        <f t="shared" si="10"/>
        <v>0</v>
      </c>
      <c r="Q42" s="35">
        <f t="shared" si="5"/>
        <v>7.6000000000931323E-2</v>
      </c>
      <c r="R42" s="74">
        <v>1103612</v>
      </c>
      <c r="S42" s="74">
        <f t="shared" si="11"/>
        <v>974383.27599999995</v>
      </c>
    </row>
    <row r="43" spans="1:20">
      <c r="A43" s="118"/>
      <c r="B43" s="118"/>
      <c r="C43" s="116"/>
      <c r="D43" s="121" t="s">
        <v>35</v>
      </c>
      <c r="E43" s="118"/>
      <c r="F43" s="122"/>
      <c r="G43" s="37">
        <f t="shared" si="22"/>
        <v>1064315</v>
      </c>
      <c r="H43" s="37">
        <f t="shared" si="22"/>
        <v>89931.8</v>
      </c>
      <c r="I43" s="37">
        <f t="shared" si="22"/>
        <v>89931.8</v>
      </c>
      <c r="J43" s="75">
        <f t="shared" si="22"/>
        <v>89931.724000000002</v>
      </c>
      <c r="K43" s="75">
        <f t="shared" si="22"/>
        <v>63281.534240000001</v>
      </c>
      <c r="L43" s="75">
        <f t="shared" si="22"/>
        <v>26650.189760000001</v>
      </c>
      <c r="M43" s="35">
        <f t="shared" si="22"/>
        <v>89931.724000000002</v>
      </c>
      <c r="N43" s="35">
        <f t="shared" si="9"/>
        <v>7.6000000000931323E-2</v>
      </c>
      <c r="O43" s="70">
        <f t="shared" si="4"/>
        <v>99.999915491516902</v>
      </c>
      <c r="P43" s="71">
        <f t="shared" si="10"/>
        <v>0</v>
      </c>
      <c r="Q43" s="35">
        <f t="shared" si="5"/>
        <v>7.6000000000931323E-2</v>
      </c>
      <c r="R43" s="72">
        <v>1103613</v>
      </c>
      <c r="S43" s="72">
        <f t="shared" si="11"/>
        <v>974383.27599999995</v>
      </c>
    </row>
    <row r="44" spans="1:20">
      <c r="A44" s="118"/>
      <c r="B44" s="118"/>
      <c r="C44" s="118"/>
      <c r="D44" s="118"/>
      <c r="E44" s="118">
        <v>361</v>
      </c>
      <c r="F44" s="117" t="s">
        <v>63</v>
      </c>
      <c r="G44" s="37">
        <v>1064315</v>
      </c>
      <c r="H44" s="37">
        <v>89931.8</v>
      </c>
      <c r="I44" s="37">
        <v>89931.8</v>
      </c>
      <c r="J44" s="75">
        <f>M44</f>
        <v>89931.724000000002</v>
      </c>
      <c r="K44" s="35">
        <f>'1.09'!M44</f>
        <v>63281.534240000001</v>
      </c>
      <c r="L44" s="35">
        <v>26650.189760000001</v>
      </c>
      <c r="M44" s="35">
        <f t="shared" ref="M44" si="23">K44+L44</f>
        <v>89931.724000000002</v>
      </c>
      <c r="N44" s="35">
        <f t="shared" si="9"/>
        <v>7.6000000000931323E-2</v>
      </c>
      <c r="O44" s="70">
        <f t="shared" si="4"/>
        <v>99.999915491516902</v>
      </c>
      <c r="P44" s="71">
        <f t="shared" si="10"/>
        <v>0</v>
      </c>
      <c r="Q44" s="35">
        <f t="shared" si="5"/>
        <v>7.6000000000931323E-2</v>
      </c>
      <c r="R44" s="72">
        <v>1103614</v>
      </c>
      <c r="S44" s="72">
        <f t="shared" si="11"/>
        <v>974383.27599999995</v>
      </c>
    </row>
    <row r="45" spans="1:20" s="73" customFormat="1">
      <c r="A45" s="8"/>
      <c r="B45" s="8"/>
      <c r="C45" s="8" t="s">
        <v>21</v>
      </c>
      <c r="D45" s="10"/>
      <c r="E45" s="10"/>
      <c r="F45" s="137" t="s">
        <v>108</v>
      </c>
      <c r="G45" s="81">
        <f>G46</f>
        <v>1672660</v>
      </c>
      <c r="H45" s="81">
        <f t="shared" ref="H45:M46" si="24">H46</f>
        <v>1103955</v>
      </c>
      <c r="I45" s="81">
        <f t="shared" si="24"/>
        <v>1087447</v>
      </c>
      <c r="J45" s="81">
        <f t="shared" si="24"/>
        <v>1087447</v>
      </c>
      <c r="K45" s="29">
        <f>'1.02.'!M44</f>
        <v>125000</v>
      </c>
      <c r="L45" s="81">
        <f t="shared" si="24"/>
        <v>79457</v>
      </c>
      <c r="M45" s="123">
        <f t="shared" si="24"/>
        <v>1087447</v>
      </c>
      <c r="N45" s="35">
        <f t="shared" si="9"/>
        <v>0</v>
      </c>
      <c r="O45" s="68">
        <f t="shared" si="4"/>
        <v>100</v>
      </c>
      <c r="P45" s="71">
        <f t="shared" si="10"/>
        <v>0</v>
      </c>
      <c r="Q45" s="35">
        <f t="shared" si="5"/>
        <v>16508</v>
      </c>
      <c r="R45" s="72">
        <v>1103615</v>
      </c>
      <c r="S45" s="72">
        <f t="shared" si="11"/>
        <v>585213</v>
      </c>
      <c r="T45" s="62">
        <f t="shared" si="12"/>
        <v>585213</v>
      </c>
    </row>
    <row r="46" spans="1:20" s="73" customFormat="1">
      <c r="A46" s="8"/>
      <c r="B46" s="8"/>
      <c r="C46" s="8"/>
      <c r="D46" s="43" t="s">
        <v>7</v>
      </c>
      <c r="E46" s="44"/>
      <c r="F46" s="135" t="s">
        <v>85</v>
      </c>
      <c r="G46" s="82">
        <f>G47</f>
        <v>1672660</v>
      </c>
      <c r="H46" s="82">
        <f t="shared" si="24"/>
        <v>1103955</v>
      </c>
      <c r="I46" s="82">
        <f t="shared" si="24"/>
        <v>1087447</v>
      </c>
      <c r="J46" s="82">
        <f t="shared" si="24"/>
        <v>1087447</v>
      </c>
      <c r="K46" s="29">
        <f>'1.02.'!M45</f>
        <v>125000</v>
      </c>
      <c r="L46" s="82">
        <f t="shared" si="24"/>
        <v>79457</v>
      </c>
      <c r="M46" s="123">
        <f t="shared" si="24"/>
        <v>1087447</v>
      </c>
      <c r="N46" s="35">
        <f t="shared" si="9"/>
        <v>0</v>
      </c>
      <c r="O46" s="70">
        <f t="shared" si="4"/>
        <v>100</v>
      </c>
      <c r="P46" s="71">
        <f t="shared" si="10"/>
        <v>0</v>
      </c>
      <c r="Q46" s="35">
        <f t="shared" si="5"/>
        <v>16508</v>
      </c>
      <c r="R46" s="72">
        <v>1103616</v>
      </c>
      <c r="S46" s="72">
        <f t="shared" si="11"/>
        <v>585213</v>
      </c>
      <c r="T46" s="62"/>
    </row>
    <row r="47" spans="1:20" s="73" customFormat="1" ht="25.5">
      <c r="A47" s="8"/>
      <c r="B47" s="8"/>
      <c r="C47" s="8"/>
      <c r="D47" s="45"/>
      <c r="E47" s="46">
        <v>339</v>
      </c>
      <c r="F47" s="138" t="s">
        <v>109</v>
      </c>
      <c r="G47" s="84">
        <f>SUM(G48:G55)</f>
        <v>1672660</v>
      </c>
      <c r="H47" s="84">
        <f>SUM(H48:H55)</f>
        <v>1103955</v>
      </c>
      <c r="I47" s="84">
        <f>SUM(I48:I55)</f>
        <v>1087447</v>
      </c>
      <c r="J47" s="108">
        <f t="shared" ref="J47" si="25">SUM(J48:J55)</f>
        <v>1087447</v>
      </c>
      <c r="K47" s="35">
        <f>'1.02.'!M46</f>
        <v>125000</v>
      </c>
      <c r="L47" s="84">
        <f>SUM(L48:L55)</f>
        <v>79457</v>
      </c>
      <c r="M47" s="123">
        <f>SUM(M48:M55)</f>
        <v>1087447</v>
      </c>
      <c r="N47" s="35">
        <f t="shared" si="9"/>
        <v>0</v>
      </c>
      <c r="O47" s="70">
        <f t="shared" si="4"/>
        <v>100</v>
      </c>
      <c r="P47" s="71">
        <f t="shared" si="10"/>
        <v>0</v>
      </c>
      <c r="Q47" s="35">
        <f t="shared" si="5"/>
        <v>16508</v>
      </c>
      <c r="R47" s="72">
        <v>1103617</v>
      </c>
      <c r="S47" s="72">
        <f t="shared" si="11"/>
        <v>585213</v>
      </c>
      <c r="T47" s="62"/>
    </row>
    <row r="48" spans="1:20" s="73" customFormat="1">
      <c r="A48" s="8"/>
      <c r="B48" s="8"/>
      <c r="C48" s="8"/>
      <c r="D48" s="45"/>
      <c r="E48" s="46"/>
      <c r="F48" s="47" t="s">
        <v>46</v>
      </c>
      <c r="G48" s="83">
        <f>G58+G67+G76+G85+G94+G103+G112+G121+G130+G139</f>
        <v>547812</v>
      </c>
      <c r="H48" s="83">
        <f t="shared" ref="H48:M48" si="26">H58+H67+H76+H85+H94+H103+H112+H121+H130+H139</f>
        <v>383425</v>
      </c>
      <c r="I48" s="83">
        <f t="shared" si="26"/>
        <v>383425</v>
      </c>
      <c r="J48" s="83">
        <f t="shared" si="26"/>
        <v>383425</v>
      </c>
      <c r="K48" s="83">
        <f t="shared" si="26"/>
        <v>357390</v>
      </c>
      <c r="L48" s="83">
        <f t="shared" si="26"/>
        <v>26035</v>
      </c>
      <c r="M48" s="83">
        <f t="shared" si="26"/>
        <v>383425</v>
      </c>
      <c r="N48" s="35">
        <f t="shared" si="9"/>
        <v>0</v>
      </c>
      <c r="O48" s="70">
        <f t="shared" si="4"/>
        <v>100</v>
      </c>
      <c r="P48" s="71">
        <f t="shared" si="10"/>
        <v>0</v>
      </c>
      <c r="Q48" s="35">
        <f t="shared" si="5"/>
        <v>0</v>
      </c>
      <c r="R48" s="72">
        <v>1103618</v>
      </c>
      <c r="S48" s="72">
        <f t="shared" si="11"/>
        <v>164387</v>
      </c>
      <c r="T48" s="62"/>
    </row>
    <row r="49" spans="1:20" s="73" customFormat="1">
      <c r="A49" s="8"/>
      <c r="B49" s="8"/>
      <c r="C49" s="8"/>
      <c r="D49" s="45"/>
      <c r="E49" s="46"/>
      <c r="F49" s="47" t="s">
        <v>8</v>
      </c>
      <c r="G49" s="83">
        <f t="shared" ref="G49:G55" si="27">G59+G68+G77+G86+G95+G104+G113+G122+G131+G140</f>
        <v>60337</v>
      </c>
      <c r="H49" s="83">
        <f t="shared" ref="H49:M49" si="28">H59+H68+H77+H86+H95+H104+H113+H122+H131+H140</f>
        <v>56579</v>
      </c>
      <c r="I49" s="83">
        <f t="shared" si="28"/>
        <v>56579</v>
      </c>
      <c r="J49" s="83">
        <f t="shared" si="28"/>
        <v>56579</v>
      </c>
      <c r="K49" s="83">
        <f t="shared" si="28"/>
        <v>55738</v>
      </c>
      <c r="L49" s="83">
        <f t="shared" si="28"/>
        <v>841</v>
      </c>
      <c r="M49" s="83">
        <f t="shared" si="28"/>
        <v>56579</v>
      </c>
      <c r="N49" s="35">
        <f t="shared" si="9"/>
        <v>0</v>
      </c>
      <c r="O49" s="70">
        <f t="shared" si="4"/>
        <v>100</v>
      </c>
      <c r="P49" s="71">
        <f t="shared" si="10"/>
        <v>0</v>
      </c>
      <c r="Q49" s="35">
        <f t="shared" si="5"/>
        <v>0</v>
      </c>
      <c r="R49" s="72">
        <v>1103619</v>
      </c>
      <c r="S49" s="72">
        <f t="shared" si="11"/>
        <v>3758</v>
      </c>
      <c r="T49" s="62"/>
    </row>
    <row r="50" spans="1:20" s="73" customFormat="1">
      <c r="A50" s="8"/>
      <c r="B50" s="8"/>
      <c r="C50" s="8"/>
      <c r="D50" s="45"/>
      <c r="E50" s="46"/>
      <c r="F50" s="49" t="s">
        <v>9</v>
      </c>
      <c r="G50" s="83">
        <f t="shared" si="27"/>
        <v>212501</v>
      </c>
      <c r="H50" s="83">
        <f t="shared" ref="H50:M50" si="29">H60+H69+H78+H87+H96+H105+H114+H123+H132+H141</f>
        <v>108134</v>
      </c>
      <c r="I50" s="83">
        <f t="shared" si="29"/>
        <v>91626</v>
      </c>
      <c r="J50" s="83">
        <f t="shared" si="29"/>
        <v>91626</v>
      </c>
      <c r="K50" s="83">
        <f t="shared" si="29"/>
        <v>67281</v>
      </c>
      <c r="L50" s="83">
        <f t="shared" si="29"/>
        <v>24345</v>
      </c>
      <c r="M50" s="83">
        <f t="shared" si="29"/>
        <v>91626</v>
      </c>
      <c r="N50" s="35">
        <f t="shared" si="9"/>
        <v>0</v>
      </c>
      <c r="O50" s="70">
        <f t="shared" si="4"/>
        <v>100</v>
      </c>
      <c r="P50" s="71">
        <f t="shared" si="10"/>
        <v>0</v>
      </c>
      <c r="Q50" s="35">
        <f t="shared" si="5"/>
        <v>16508</v>
      </c>
      <c r="R50" s="72">
        <v>1103620</v>
      </c>
      <c r="S50" s="72">
        <f t="shared" si="11"/>
        <v>120875</v>
      </c>
      <c r="T50" s="62"/>
    </row>
    <row r="51" spans="1:20" s="73" customFormat="1">
      <c r="A51" s="8"/>
      <c r="B51" s="8"/>
      <c r="C51" s="8"/>
      <c r="D51" s="45"/>
      <c r="E51" s="46"/>
      <c r="F51" s="49" t="s">
        <v>10</v>
      </c>
      <c r="G51" s="83">
        <f t="shared" si="27"/>
        <v>55189</v>
      </c>
      <c r="H51" s="83">
        <f t="shared" ref="H51:M51" si="30">H61+H70+H79+H88+H97+H106+H115+H124+H133+H142</f>
        <v>33762</v>
      </c>
      <c r="I51" s="83">
        <f t="shared" si="30"/>
        <v>33762</v>
      </c>
      <c r="J51" s="83">
        <f t="shared" si="30"/>
        <v>33762</v>
      </c>
      <c r="K51" s="83">
        <f t="shared" si="30"/>
        <v>27498</v>
      </c>
      <c r="L51" s="83">
        <f t="shared" si="30"/>
        <v>6264</v>
      </c>
      <c r="M51" s="83">
        <f t="shared" si="30"/>
        <v>33762</v>
      </c>
      <c r="N51" s="35">
        <f t="shared" si="9"/>
        <v>0</v>
      </c>
      <c r="O51" s="70">
        <f t="shared" si="4"/>
        <v>100</v>
      </c>
      <c r="P51" s="71">
        <f t="shared" si="10"/>
        <v>0</v>
      </c>
      <c r="Q51" s="35">
        <f t="shared" si="5"/>
        <v>0</v>
      </c>
      <c r="R51" s="72">
        <v>1103621</v>
      </c>
      <c r="S51" s="72">
        <f t="shared" si="11"/>
        <v>21427</v>
      </c>
      <c r="T51" s="62"/>
    </row>
    <row r="52" spans="1:20" s="73" customFormat="1">
      <c r="A52" s="8"/>
      <c r="B52" s="8"/>
      <c r="C52" s="8"/>
      <c r="D52" s="45"/>
      <c r="E52" s="46"/>
      <c r="F52" s="49" t="s">
        <v>47</v>
      </c>
      <c r="G52" s="83">
        <f t="shared" si="27"/>
        <v>85380</v>
      </c>
      <c r="H52" s="83">
        <f t="shared" ref="H52:M52" si="31">H62+H71+H80+H89+H98+H107+H116+H125+H134+H143</f>
        <v>57087</v>
      </c>
      <c r="I52" s="83">
        <f t="shared" si="31"/>
        <v>57087</v>
      </c>
      <c r="J52" s="83">
        <f t="shared" si="31"/>
        <v>57087</v>
      </c>
      <c r="K52" s="83">
        <f t="shared" si="31"/>
        <v>50926</v>
      </c>
      <c r="L52" s="83">
        <f t="shared" si="31"/>
        <v>6161</v>
      </c>
      <c r="M52" s="83">
        <f t="shared" si="31"/>
        <v>57087</v>
      </c>
      <c r="N52" s="35">
        <f t="shared" si="9"/>
        <v>0</v>
      </c>
      <c r="O52" s="70">
        <f t="shared" si="4"/>
        <v>100</v>
      </c>
      <c r="P52" s="71">
        <f t="shared" si="10"/>
        <v>0</v>
      </c>
      <c r="Q52" s="35">
        <f t="shared" si="5"/>
        <v>0</v>
      </c>
      <c r="R52" s="72">
        <v>1103622</v>
      </c>
      <c r="S52" s="72">
        <f t="shared" si="11"/>
        <v>28293</v>
      </c>
      <c r="T52" s="62"/>
    </row>
    <row r="53" spans="1:20" s="73" customFormat="1">
      <c r="A53" s="8"/>
      <c r="B53" s="8"/>
      <c r="C53" s="8"/>
      <c r="D53" s="45"/>
      <c r="E53" s="46"/>
      <c r="F53" s="49" t="s">
        <v>48</v>
      </c>
      <c r="G53" s="83">
        <f t="shared" si="27"/>
        <v>151544</v>
      </c>
      <c r="H53" s="83">
        <f t="shared" ref="H53:M53" si="32">H63+H72+H81+H90+H99+H108+H117+H126+H135+H144</f>
        <v>73501</v>
      </c>
      <c r="I53" s="83">
        <f t="shared" si="32"/>
        <v>73501</v>
      </c>
      <c r="J53" s="83">
        <f t="shared" si="32"/>
        <v>73501</v>
      </c>
      <c r="K53" s="83">
        <f t="shared" si="32"/>
        <v>67134</v>
      </c>
      <c r="L53" s="83">
        <f t="shared" si="32"/>
        <v>6367</v>
      </c>
      <c r="M53" s="83">
        <f t="shared" si="32"/>
        <v>73501</v>
      </c>
      <c r="N53" s="35">
        <f t="shared" si="9"/>
        <v>0</v>
      </c>
      <c r="O53" s="70">
        <f t="shared" si="4"/>
        <v>100</v>
      </c>
      <c r="P53" s="71">
        <f t="shared" si="10"/>
        <v>0</v>
      </c>
      <c r="Q53" s="35">
        <f t="shared" si="5"/>
        <v>0</v>
      </c>
      <c r="R53" s="72">
        <v>1103623</v>
      </c>
      <c r="S53" s="72">
        <f t="shared" si="11"/>
        <v>78043</v>
      </c>
      <c r="T53" s="62"/>
    </row>
    <row r="54" spans="1:20" s="73" customFormat="1">
      <c r="A54" s="8"/>
      <c r="B54" s="8"/>
      <c r="C54" s="8"/>
      <c r="D54" s="45"/>
      <c r="E54" s="46"/>
      <c r="F54" s="49" t="s">
        <v>12</v>
      </c>
      <c r="G54" s="83">
        <f t="shared" si="27"/>
        <v>449340</v>
      </c>
      <c r="H54" s="83">
        <f t="shared" ref="H54:M54" si="33">H64+H73+H82+H91+H100+H109+H118+H127+H136+H145</f>
        <v>349171</v>
      </c>
      <c r="I54" s="83">
        <f t="shared" si="33"/>
        <v>349171</v>
      </c>
      <c r="J54" s="83">
        <f t="shared" si="33"/>
        <v>349171</v>
      </c>
      <c r="K54" s="83">
        <f t="shared" si="33"/>
        <v>342859</v>
      </c>
      <c r="L54" s="83">
        <f t="shared" si="33"/>
        <v>6312</v>
      </c>
      <c r="M54" s="83">
        <f t="shared" si="33"/>
        <v>349171</v>
      </c>
      <c r="N54" s="35">
        <f t="shared" si="9"/>
        <v>0</v>
      </c>
      <c r="O54" s="70">
        <f t="shared" si="4"/>
        <v>100</v>
      </c>
      <c r="P54" s="71">
        <f t="shared" si="10"/>
        <v>0</v>
      </c>
      <c r="Q54" s="35">
        <f t="shared" si="5"/>
        <v>0</v>
      </c>
      <c r="R54" s="72">
        <v>1103624</v>
      </c>
      <c r="S54" s="72">
        <f t="shared" si="11"/>
        <v>100169</v>
      </c>
      <c r="T54" s="62"/>
    </row>
    <row r="55" spans="1:20" s="73" customFormat="1">
      <c r="A55" s="8"/>
      <c r="B55" s="8"/>
      <c r="C55" s="8"/>
      <c r="D55" s="45"/>
      <c r="E55" s="46"/>
      <c r="F55" s="49" t="s">
        <v>11</v>
      </c>
      <c r="G55" s="83">
        <f t="shared" si="27"/>
        <v>110557</v>
      </c>
      <c r="H55" s="83">
        <f t="shared" ref="H55:M55" si="34">H65+H74+H83+H92+H101+H110+H119+H128+H137+H146</f>
        <v>42296</v>
      </c>
      <c r="I55" s="83">
        <f t="shared" si="34"/>
        <v>42296</v>
      </c>
      <c r="J55" s="83">
        <f t="shared" si="34"/>
        <v>42296</v>
      </c>
      <c r="K55" s="83">
        <f t="shared" si="34"/>
        <v>39164</v>
      </c>
      <c r="L55" s="83">
        <f t="shared" si="34"/>
        <v>3132</v>
      </c>
      <c r="M55" s="83">
        <f t="shared" si="34"/>
        <v>42296</v>
      </c>
      <c r="N55" s="35">
        <f t="shared" si="9"/>
        <v>0</v>
      </c>
      <c r="O55" s="70">
        <f t="shared" si="4"/>
        <v>100</v>
      </c>
      <c r="P55" s="71">
        <f t="shared" si="10"/>
        <v>0</v>
      </c>
      <c r="Q55" s="35">
        <f t="shared" si="5"/>
        <v>0</v>
      </c>
      <c r="R55" s="72">
        <v>1103625</v>
      </c>
      <c r="S55" s="72">
        <f t="shared" si="11"/>
        <v>68261</v>
      </c>
      <c r="T55" s="62"/>
    </row>
    <row r="56" spans="1:20" s="73" customFormat="1">
      <c r="A56" s="8"/>
      <c r="B56" s="8"/>
      <c r="C56" s="8"/>
      <c r="D56" s="45"/>
      <c r="E56" s="46"/>
      <c r="F56" s="50" t="s">
        <v>110</v>
      </c>
      <c r="G56" s="82"/>
      <c r="H56" s="82"/>
      <c r="I56" s="82"/>
      <c r="J56" s="75" t="e">
        <f t="shared" ref="J56:J74" si="35">M56</f>
        <v>#REF!</v>
      </c>
      <c r="K56" s="35" t="e">
        <f>'1.02.'!M55</f>
        <v>#REF!</v>
      </c>
      <c r="L56" s="35"/>
      <c r="M56" s="93" t="e">
        <f t="shared" ref="M56:M74" si="36">K56+L56</f>
        <v>#REF!</v>
      </c>
      <c r="N56" s="35" t="e">
        <f t="shared" si="9"/>
        <v>#REF!</v>
      </c>
      <c r="O56" s="70" t="e">
        <f t="shared" si="4"/>
        <v>#REF!</v>
      </c>
      <c r="P56" s="71" t="e">
        <f t="shared" si="10"/>
        <v>#REF!</v>
      </c>
      <c r="Q56" s="35" t="e">
        <f t="shared" si="5"/>
        <v>#REF!</v>
      </c>
      <c r="R56" s="72">
        <v>1103626</v>
      </c>
      <c r="S56" s="72" t="e">
        <f t="shared" si="11"/>
        <v>#REF!</v>
      </c>
      <c r="T56" s="62"/>
    </row>
    <row r="57" spans="1:20" s="73" customFormat="1">
      <c r="A57" s="8"/>
      <c r="B57" s="8"/>
      <c r="C57" s="8"/>
      <c r="D57" s="44"/>
      <c r="E57" s="52"/>
      <c r="F57" s="53" t="s">
        <v>111</v>
      </c>
      <c r="G57" s="84">
        <f>SUM(G58:G65)</f>
        <v>615150</v>
      </c>
      <c r="H57" s="84">
        <f t="shared" ref="H57:M57" si="37">SUM(H58:H65)</f>
        <v>385731</v>
      </c>
      <c r="I57" s="84">
        <f t="shared" si="37"/>
        <v>385731</v>
      </c>
      <c r="J57" s="108">
        <f t="shared" si="37"/>
        <v>385731</v>
      </c>
      <c r="K57" s="108">
        <f t="shared" si="37"/>
        <v>342320</v>
      </c>
      <c r="L57" s="108">
        <f t="shared" si="37"/>
        <v>43411</v>
      </c>
      <c r="M57" s="123">
        <f t="shared" si="37"/>
        <v>385731</v>
      </c>
      <c r="N57" s="35">
        <f t="shared" si="9"/>
        <v>0</v>
      </c>
      <c r="O57" s="70">
        <f t="shared" si="4"/>
        <v>100</v>
      </c>
      <c r="P57" s="71">
        <f t="shared" si="10"/>
        <v>0</v>
      </c>
      <c r="Q57" s="35">
        <f t="shared" si="5"/>
        <v>0</v>
      </c>
      <c r="R57" s="72">
        <v>1103627</v>
      </c>
      <c r="S57" s="72">
        <f t="shared" si="11"/>
        <v>229419</v>
      </c>
      <c r="T57" s="62"/>
    </row>
    <row r="58" spans="1:20" s="73" customFormat="1">
      <c r="A58" s="8"/>
      <c r="B58" s="8"/>
      <c r="C58" s="8"/>
      <c r="D58" s="45"/>
      <c r="E58" s="45"/>
      <c r="F58" s="47" t="s">
        <v>46</v>
      </c>
      <c r="G58" s="83">
        <v>233757</v>
      </c>
      <c r="H58" s="83">
        <f>14105+15933+16957+18744+19587+20233+15353+18029</f>
        <v>138941</v>
      </c>
      <c r="I58" s="83">
        <f>H58</f>
        <v>138941</v>
      </c>
      <c r="J58" s="75">
        <f>M58</f>
        <v>138941</v>
      </c>
      <c r="K58" s="35">
        <f>'1.09'!M58</f>
        <v>120912</v>
      </c>
      <c r="L58" s="35">
        <v>18029</v>
      </c>
      <c r="M58" s="93">
        <f t="shared" si="36"/>
        <v>138941</v>
      </c>
      <c r="N58" s="35">
        <f t="shared" si="9"/>
        <v>0</v>
      </c>
      <c r="O58" s="70">
        <f t="shared" si="4"/>
        <v>100</v>
      </c>
      <c r="P58" s="71">
        <f t="shared" si="10"/>
        <v>0</v>
      </c>
      <c r="Q58" s="35">
        <f t="shared" si="5"/>
        <v>0</v>
      </c>
      <c r="R58" s="72">
        <v>1103628</v>
      </c>
      <c r="S58" s="72">
        <f t="shared" si="11"/>
        <v>94816</v>
      </c>
      <c r="T58" s="62"/>
    </row>
    <row r="59" spans="1:20" s="73" customFormat="1">
      <c r="A59" s="8"/>
      <c r="B59" s="8"/>
      <c r="C59" s="8"/>
      <c r="D59" s="45"/>
      <c r="E59" s="45"/>
      <c r="F59" s="47" t="s">
        <v>8</v>
      </c>
      <c r="G59" s="83">
        <v>33218</v>
      </c>
      <c r="H59" s="83">
        <f>3154+3907+4339+5408+6049+6361+3617+383</f>
        <v>33218</v>
      </c>
      <c r="I59" s="83">
        <f t="shared" ref="I59:I65" si="38">H59</f>
        <v>33218</v>
      </c>
      <c r="J59" s="75">
        <f t="shared" si="35"/>
        <v>33218</v>
      </c>
      <c r="K59" s="35">
        <f>'1.09'!M59</f>
        <v>32835</v>
      </c>
      <c r="L59" s="35">
        <v>383</v>
      </c>
      <c r="M59" s="93">
        <f t="shared" si="36"/>
        <v>33218</v>
      </c>
      <c r="N59" s="35">
        <f t="shared" si="9"/>
        <v>0</v>
      </c>
      <c r="O59" s="70">
        <f t="shared" si="4"/>
        <v>100</v>
      </c>
      <c r="P59" s="71">
        <f t="shared" si="10"/>
        <v>0</v>
      </c>
      <c r="Q59" s="35">
        <f t="shared" si="5"/>
        <v>0</v>
      </c>
      <c r="R59" s="72">
        <v>1103629</v>
      </c>
      <c r="S59" s="72">
        <f t="shared" si="11"/>
        <v>0</v>
      </c>
      <c r="T59" s="62"/>
    </row>
    <row r="60" spans="1:20" s="73" customFormat="1">
      <c r="A60" s="8"/>
      <c r="B60" s="8"/>
      <c r="C60" s="8"/>
      <c r="D60" s="45"/>
      <c r="E60" s="45"/>
      <c r="F60" s="49" t="s">
        <v>9</v>
      </c>
      <c r="G60" s="83">
        <v>91657</v>
      </c>
      <c r="H60" s="83">
        <f>5815+6877+7129+7351+7978+8120+5145+6227</f>
        <v>54642</v>
      </c>
      <c r="I60" s="83">
        <f t="shared" si="38"/>
        <v>54642</v>
      </c>
      <c r="J60" s="75">
        <f t="shared" si="35"/>
        <v>54642</v>
      </c>
      <c r="K60" s="35">
        <f>'1.09'!M60</f>
        <v>48415</v>
      </c>
      <c r="L60" s="35">
        <v>6227</v>
      </c>
      <c r="M60" s="93">
        <f t="shared" si="36"/>
        <v>54642</v>
      </c>
      <c r="N60" s="35">
        <f t="shared" si="9"/>
        <v>0</v>
      </c>
      <c r="O60" s="70">
        <f t="shared" si="4"/>
        <v>100</v>
      </c>
      <c r="P60" s="71">
        <f t="shared" si="10"/>
        <v>0</v>
      </c>
      <c r="Q60" s="35">
        <f t="shared" si="5"/>
        <v>0</v>
      </c>
      <c r="R60" s="72">
        <v>1103630</v>
      </c>
      <c r="S60" s="72">
        <f t="shared" si="11"/>
        <v>37015</v>
      </c>
      <c r="T60" s="62"/>
    </row>
    <row r="61" spans="1:20" s="73" customFormat="1">
      <c r="A61" s="8"/>
      <c r="B61" s="8"/>
      <c r="C61" s="8"/>
      <c r="D61" s="45"/>
      <c r="E61" s="45"/>
      <c r="F61" s="49" t="s">
        <v>10</v>
      </c>
      <c r="G61" s="83">
        <v>25221</v>
      </c>
      <c r="H61" s="83">
        <f>1864+2063+2209+2618+2782+3171+1916+3202</f>
        <v>19825</v>
      </c>
      <c r="I61" s="83">
        <f t="shared" si="38"/>
        <v>19825</v>
      </c>
      <c r="J61" s="75">
        <f t="shared" si="35"/>
        <v>19825</v>
      </c>
      <c r="K61" s="35">
        <f>'1.09'!M61</f>
        <v>16623</v>
      </c>
      <c r="L61" s="35">
        <v>3202</v>
      </c>
      <c r="M61" s="93">
        <f t="shared" si="36"/>
        <v>19825</v>
      </c>
      <c r="N61" s="35">
        <f t="shared" si="9"/>
        <v>0</v>
      </c>
      <c r="O61" s="70">
        <f t="shared" si="4"/>
        <v>100</v>
      </c>
      <c r="P61" s="71">
        <f t="shared" si="10"/>
        <v>0</v>
      </c>
      <c r="Q61" s="35">
        <f t="shared" si="5"/>
        <v>0</v>
      </c>
      <c r="R61" s="72">
        <v>1103631</v>
      </c>
      <c r="S61" s="72">
        <f t="shared" si="11"/>
        <v>5396</v>
      </c>
      <c r="T61" s="62"/>
    </row>
    <row r="62" spans="1:20" s="73" customFormat="1">
      <c r="A62" s="8"/>
      <c r="B62" s="8"/>
      <c r="C62" s="8"/>
      <c r="D62" s="45"/>
      <c r="E62" s="45"/>
      <c r="F62" s="49" t="s">
        <v>47</v>
      </c>
      <c r="G62" s="83">
        <v>55364</v>
      </c>
      <c r="H62" s="83">
        <f>4910+5242+5520+5520+5820+5854+4006+4515</f>
        <v>41387</v>
      </c>
      <c r="I62" s="83">
        <f t="shared" si="38"/>
        <v>41387</v>
      </c>
      <c r="J62" s="75">
        <f t="shared" si="35"/>
        <v>41387</v>
      </c>
      <c r="K62" s="35">
        <f>'1.09'!M62</f>
        <v>36872</v>
      </c>
      <c r="L62" s="35">
        <v>4515</v>
      </c>
      <c r="M62" s="93">
        <f t="shared" si="36"/>
        <v>41387</v>
      </c>
      <c r="N62" s="35">
        <f t="shared" si="9"/>
        <v>0</v>
      </c>
      <c r="O62" s="70">
        <f t="shared" si="4"/>
        <v>100</v>
      </c>
      <c r="P62" s="71">
        <f t="shared" si="10"/>
        <v>0</v>
      </c>
      <c r="Q62" s="35">
        <f t="shared" si="5"/>
        <v>0</v>
      </c>
      <c r="R62" s="72">
        <v>1103632</v>
      </c>
      <c r="S62" s="72">
        <f t="shared" si="11"/>
        <v>13977</v>
      </c>
      <c r="T62" s="62"/>
    </row>
    <row r="63" spans="1:20" s="73" customFormat="1">
      <c r="A63" s="8"/>
      <c r="B63" s="8"/>
      <c r="C63" s="8"/>
      <c r="D63" s="45"/>
      <c r="E63" s="45"/>
      <c r="F63" s="49" t="s">
        <v>48</v>
      </c>
      <c r="G63" s="83">
        <v>96579</v>
      </c>
      <c r="H63" s="83">
        <f>5824+6008+6007+7486+7934+7870+5622+5681</f>
        <v>52432</v>
      </c>
      <c r="I63" s="83">
        <f t="shared" si="38"/>
        <v>52432</v>
      </c>
      <c r="J63" s="75">
        <f t="shared" si="35"/>
        <v>52432</v>
      </c>
      <c r="K63" s="35">
        <f>'1.09'!M63</f>
        <v>46751</v>
      </c>
      <c r="L63" s="35">
        <v>5681</v>
      </c>
      <c r="M63" s="93">
        <f t="shared" si="36"/>
        <v>52432</v>
      </c>
      <c r="N63" s="35">
        <f t="shared" si="9"/>
        <v>0</v>
      </c>
      <c r="O63" s="70">
        <f t="shared" si="4"/>
        <v>100</v>
      </c>
      <c r="P63" s="71">
        <f t="shared" si="10"/>
        <v>0</v>
      </c>
      <c r="Q63" s="35">
        <f t="shared" si="5"/>
        <v>0</v>
      </c>
      <c r="R63" s="72">
        <v>1103633</v>
      </c>
      <c r="S63" s="72">
        <f t="shared" si="11"/>
        <v>44147</v>
      </c>
      <c r="T63" s="62"/>
    </row>
    <row r="64" spans="1:20" s="73" customFormat="1">
      <c r="A64" s="8"/>
      <c r="B64" s="8"/>
      <c r="C64" s="8"/>
      <c r="D64" s="45"/>
      <c r="E64" s="45"/>
      <c r="F64" s="49" t="s">
        <v>12</v>
      </c>
      <c r="G64" s="83">
        <v>33833</v>
      </c>
      <c r="H64" s="83">
        <f>2019+2264+2458+2800+3194+3796+1472+2534</f>
        <v>20537</v>
      </c>
      <c r="I64" s="83">
        <f t="shared" si="38"/>
        <v>20537</v>
      </c>
      <c r="J64" s="75">
        <f t="shared" si="35"/>
        <v>20537</v>
      </c>
      <c r="K64" s="35">
        <f>'1.09'!M64</f>
        <v>18003</v>
      </c>
      <c r="L64" s="35">
        <v>2534</v>
      </c>
      <c r="M64" s="93">
        <f t="shared" si="36"/>
        <v>20537</v>
      </c>
      <c r="N64" s="35">
        <f t="shared" si="9"/>
        <v>0</v>
      </c>
      <c r="O64" s="70">
        <f t="shared" si="4"/>
        <v>100</v>
      </c>
      <c r="P64" s="71">
        <f t="shared" si="10"/>
        <v>0</v>
      </c>
      <c r="Q64" s="35">
        <f t="shared" si="5"/>
        <v>0</v>
      </c>
      <c r="R64" s="72">
        <v>1103634</v>
      </c>
      <c r="S64" s="72">
        <f t="shared" si="11"/>
        <v>13296</v>
      </c>
      <c r="T64" s="62"/>
    </row>
    <row r="65" spans="1:20" s="73" customFormat="1">
      <c r="A65" s="8"/>
      <c r="B65" s="8"/>
      <c r="C65" s="8"/>
      <c r="D65" s="45"/>
      <c r="E65" s="45"/>
      <c r="F65" s="49" t="s">
        <v>11</v>
      </c>
      <c r="G65" s="83">
        <v>45521</v>
      </c>
      <c r="H65" s="83">
        <f>2410+2633+2674+3800+3887+3941+2564+2840</f>
        <v>24749</v>
      </c>
      <c r="I65" s="83">
        <f t="shared" si="38"/>
        <v>24749</v>
      </c>
      <c r="J65" s="75">
        <f t="shared" si="35"/>
        <v>24749</v>
      </c>
      <c r="K65" s="35">
        <f>'1.09'!M65</f>
        <v>21909</v>
      </c>
      <c r="L65" s="35">
        <v>2840</v>
      </c>
      <c r="M65" s="93">
        <f t="shared" si="36"/>
        <v>24749</v>
      </c>
      <c r="N65" s="35">
        <f t="shared" si="9"/>
        <v>0</v>
      </c>
      <c r="O65" s="70">
        <f t="shared" si="4"/>
        <v>100</v>
      </c>
      <c r="P65" s="71">
        <f t="shared" si="10"/>
        <v>0</v>
      </c>
      <c r="Q65" s="35">
        <f t="shared" si="5"/>
        <v>0</v>
      </c>
      <c r="R65" s="72">
        <v>1103635</v>
      </c>
      <c r="S65" s="72">
        <f t="shared" si="11"/>
        <v>20772</v>
      </c>
      <c r="T65" s="62"/>
    </row>
    <row r="66" spans="1:20" s="73" customFormat="1" ht="25.5">
      <c r="A66" s="8"/>
      <c r="B66" s="8"/>
      <c r="C66" s="8"/>
      <c r="D66" s="44"/>
      <c r="E66" s="52"/>
      <c r="F66" s="53" t="s">
        <v>112</v>
      </c>
      <c r="G66" s="84">
        <f>SUM(G67:G74)</f>
        <v>111098</v>
      </c>
      <c r="H66" s="84">
        <f t="shared" ref="H66:M66" si="39">SUM(H67:H74)</f>
        <v>38679</v>
      </c>
      <c r="I66" s="84">
        <f t="shared" si="39"/>
        <v>38679</v>
      </c>
      <c r="J66" s="108">
        <f t="shared" si="39"/>
        <v>38679</v>
      </c>
      <c r="K66" s="108">
        <f t="shared" si="39"/>
        <v>33791</v>
      </c>
      <c r="L66" s="108">
        <f t="shared" si="39"/>
        <v>4888</v>
      </c>
      <c r="M66" s="123">
        <f t="shared" si="39"/>
        <v>38679</v>
      </c>
      <c r="N66" s="35">
        <f t="shared" si="9"/>
        <v>0</v>
      </c>
      <c r="O66" s="70">
        <f t="shared" si="4"/>
        <v>100</v>
      </c>
      <c r="P66" s="71">
        <f t="shared" si="10"/>
        <v>0</v>
      </c>
      <c r="Q66" s="35">
        <f t="shared" si="5"/>
        <v>0</v>
      </c>
      <c r="R66" s="72">
        <v>1103636</v>
      </c>
      <c r="S66" s="72">
        <f t="shared" si="11"/>
        <v>72419</v>
      </c>
      <c r="T66" s="62"/>
    </row>
    <row r="67" spans="1:20" s="73" customFormat="1">
      <c r="A67" s="8"/>
      <c r="B67" s="8"/>
      <c r="C67" s="8"/>
      <c r="D67" s="45"/>
      <c r="E67" s="45"/>
      <c r="F67" s="47" t="s">
        <v>46</v>
      </c>
      <c r="G67" s="83">
        <v>38884</v>
      </c>
      <c r="H67" s="83">
        <f>1421+1689+1718+1574+1629+1646+1489+1790</f>
        <v>12956</v>
      </c>
      <c r="I67" s="83">
        <f>H67</f>
        <v>12956</v>
      </c>
      <c r="J67" s="75">
        <f t="shared" si="35"/>
        <v>12956</v>
      </c>
      <c r="K67" s="35">
        <f>'1.09'!M67</f>
        <v>11166</v>
      </c>
      <c r="L67" s="35">
        <v>1790</v>
      </c>
      <c r="M67" s="93">
        <f t="shared" si="36"/>
        <v>12956</v>
      </c>
      <c r="N67" s="35">
        <f t="shared" si="9"/>
        <v>0</v>
      </c>
      <c r="O67" s="70">
        <f t="shared" si="4"/>
        <v>100</v>
      </c>
      <c r="P67" s="71">
        <f t="shared" si="10"/>
        <v>0</v>
      </c>
      <c r="Q67" s="35">
        <f t="shared" si="5"/>
        <v>0</v>
      </c>
      <c r="R67" s="72">
        <v>1103637</v>
      </c>
      <c r="S67" s="72">
        <f t="shared" si="11"/>
        <v>25928</v>
      </c>
      <c r="T67" s="62"/>
    </row>
    <row r="68" spans="1:20" s="73" customFormat="1">
      <c r="A68" s="8"/>
      <c r="B68" s="8"/>
      <c r="C68" s="8"/>
      <c r="D68" s="45"/>
      <c r="E68" s="45"/>
      <c r="F68" s="47" t="s">
        <v>8</v>
      </c>
      <c r="G68" s="83">
        <v>7221</v>
      </c>
      <c r="H68" s="83">
        <f>238+322+361+438+481+807+358+458</f>
        <v>3463</v>
      </c>
      <c r="I68" s="83">
        <f t="shared" ref="I68:I74" si="40">H68</f>
        <v>3463</v>
      </c>
      <c r="J68" s="75">
        <f t="shared" si="35"/>
        <v>3463</v>
      </c>
      <c r="K68" s="35">
        <f>'1.09'!M68</f>
        <v>3005</v>
      </c>
      <c r="L68" s="35">
        <v>458</v>
      </c>
      <c r="M68" s="93">
        <f t="shared" si="36"/>
        <v>3463</v>
      </c>
      <c r="N68" s="35">
        <f t="shared" si="9"/>
        <v>0</v>
      </c>
      <c r="O68" s="70">
        <f t="shared" si="4"/>
        <v>100</v>
      </c>
      <c r="P68" s="71">
        <f t="shared" si="10"/>
        <v>0</v>
      </c>
      <c r="Q68" s="35">
        <f t="shared" si="5"/>
        <v>0</v>
      </c>
      <c r="R68" s="72">
        <v>1103638</v>
      </c>
      <c r="S68" s="72">
        <f t="shared" si="11"/>
        <v>3758</v>
      </c>
      <c r="T68" s="62"/>
    </row>
    <row r="69" spans="1:20" s="73" customFormat="1">
      <c r="A69" s="8"/>
      <c r="B69" s="8"/>
      <c r="C69" s="8"/>
      <c r="D69" s="45"/>
      <c r="E69" s="45"/>
      <c r="F69" s="49" t="s">
        <v>9</v>
      </c>
      <c r="G69" s="83">
        <v>13554</v>
      </c>
      <c r="H69" s="83">
        <f>588+692+689+609+643+657+513+626</f>
        <v>5017</v>
      </c>
      <c r="I69" s="83">
        <f t="shared" si="40"/>
        <v>5017</v>
      </c>
      <c r="J69" s="75">
        <f t="shared" si="35"/>
        <v>5017</v>
      </c>
      <c r="K69" s="35">
        <f>'1.09'!M69</f>
        <v>4391</v>
      </c>
      <c r="L69" s="35">
        <v>626</v>
      </c>
      <c r="M69" s="93">
        <f t="shared" si="36"/>
        <v>5017</v>
      </c>
      <c r="N69" s="35">
        <f t="shared" si="9"/>
        <v>0</v>
      </c>
      <c r="O69" s="70">
        <f t="shared" si="4"/>
        <v>100</v>
      </c>
      <c r="P69" s="71">
        <f t="shared" si="10"/>
        <v>0</v>
      </c>
      <c r="Q69" s="35">
        <f t="shared" si="5"/>
        <v>0</v>
      </c>
      <c r="R69" s="72">
        <v>1103639</v>
      </c>
      <c r="S69" s="72">
        <f t="shared" si="11"/>
        <v>8537</v>
      </c>
      <c r="T69" s="62"/>
    </row>
    <row r="70" spans="1:20" s="73" customFormat="1">
      <c r="A70" s="8"/>
      <c r="B70" s="8"/>
      <c r="C70" s="8"/>
      <c r="D70" s="45"/>
      <c r="E70" s="45"/>
      <c r="F70" s="49" t="s">
        <v>10</v>
      </c>
      <c r="G70" s="83">
        <v>4777</v>
      </c>
      <c r="H70" s="83">
        <f>215+246+259+233+763+327+254+362</f>
        <v>2659</v>
      </c>
      <c r="I70" s="83">
        <f t="shared" si="40"/>
        <v>2659</v>
      </c>
      <c r="J70" s="75">
        <f t="shared" si="35"/>
        <v>2659</v>
      </c>
      <c r="K70" s="35">
        <f>'1.09'!M70</f>
        <v>2297</v>
      </c>
      <c r="L70" s="35">
        <v>362</v>
      </c>
      <c r="M70" s="93">
        <f t="shared" si="36"/>
        <v>2659</v>
      </c>
      <c r="N70" s="35">
        <f t="shared" si="9"/>
        <v>0</v>
      </c>
      <c r="O70" s="70">
        <f t="shared" si="4"/>
        <v>100</v>
      </c>
      <c r="P70" s="71">
        <f t="shared" si="10"/>
        <v>0</v>
      </c>
      <c r="Q70" s="35">
        <f t="shared" ref="Q70:Q133" si="41">H70-J70</f>
        <v>0</v>
      </c>
      <c r="R70" s="72">
        <v>1103640</v>
      </c>
      <c r="S70" s="72">
        <f t="shared" si="11"/>
        <v>2118</v>
      </c>
      <c r="T70" s="62"/>
    </row>
    <row r="71" spans="1:20" s="73" customFormat="1">
      <c r="A71" s="8"/>
      <c r="B71" s="8"/>
      <c r="C71" s="8"/>
      <c r="D71" s="45"/>
      <c r="E71" s="45"/>
      <c r="F71" s="49" t="s">
        <v>47</v>
      </c>
      <c r="G71" s="83">
        <v>10999</v>
      </c>
      <c r="H71" s="83">
        <f>508+650+573+459+488+477+354+396</f>
        <v>3905</v>
      </c>
      <c r="I71" s="83">
        <f t="shared" si="40"/>
        <v>3905</v>
      </c>
      <c r="J71" s="75">
        <f t="shared" si="35"/>
        <v>3905</v>
      </c>
      <c r="K71" s="35">
        <f>'1.09'!M71</f>
        <v>3509</v>
      </c>
      <c r="L71" s="35">
        <v>396</v>
      </c>
      <c r="M71" s="93">
        <f t="shared" si="36"/>
        <v>3905</v>
      </c>
      <c r="N71" s="35">
        <f t="shared" si="9"/>
        <v>0</v>
      </c>
      <c r="O71" s="70">
        <f t="shared" ref="O71:O74" si="42">M71/I71*100</f>
        <v>100</v>
      </c>
      <c r="P71" s="71">
        <f t="shared" si="10"/>
        <v>0</v>
      </c>
      <c r="Q71" s="35">
        <f t="shared" si="41"/>
        <v>0</v>
      </c>
      <c r="R71" s="72">
        <v>1103641</v>
      </c>
      <c r="S71" s="72">
        <f t="shared" si="11"/>
        <v>7094</v>
      </c>
      <c r="T71" s="62"/>
    </row>
    <row r="72" spans="1:20" s="73" customFormat="1">
      <c r="A72" s="8"/>
      <c r="B72" s="8"/>
      <c r="C72" s="8"/>
      <c r="D72" s="45"/>
      <c r="E72" s="45"/>
      <c r="F72" s="49" t="s">
        <v>48</v>
      </c>
      <c r="G72" s="83">
        <v>21109</v>
      </c>
      <c r="H72" s="83">
        <f>766+770+765+796+812+807+667+686</f>
        <v>6069</v>
      </c>
      <c r="I72" s="83">
        <f t="shared" si="40"/>
        <v>6069</v>
      </c>
      <c r="J72" s="75">
        <f t="shared" si="35"/>
        <v>6069</v>
      </c>
      <c r="K72" s="35">
        <f>'1.09'!M72</f>
        <v>5383</v>
      </c>
      <c r="L72" s="35">
        <v>686</v>
      </c>
      <c r="M72" s="93">
        <f t="shared" si="36"/>
        <v>6069</v>
      </c>
      <c r="N72" s="35">
        <f t="shared" si="9"/>
        <v>0</v>
      </c>
      <c r="O72" s="70">
        <f t="shared" si="42"/>
        <v>100</v>
      </c>
      <c r="P72" s="71">
        <f t="shared" si="10"/>
        <v>0</v>
      </c>
      <c r="Q72" s="35">
        <f t="shared" si="41"/>
        <v>0</v>
      </c>
      <c r="R72" s="72">
        <v>1103642</v>
      </c>
      <c r="S72" s="72">
        <f t="shared" si="11"/>
        <v>15040</v>
      </c>
      <c r="T72" s="62"/>
    </row>
    <row r="73" spans="1:20" s="73" customFormat="1">
      <c r="A73" s="8"/>
      <c r="B73" s="8"/>
      <c r="C73" s="8"/>
      <c r="D73" s="45"/>
      <c r="E73" s="45"/>
      <c r="F73" s="49" t="s">
        <v>12</v>
      </c>
      <c r="G73" s="83">
        <v>6554</v>
      </c>
      <c r="H73" s="83">
        <f>234+267+315+266+257+290+156+278</f>
        <v>2063</v>
      </c>
      <c r="I73" s="83">
        <f t="shared" si="40"/>
        <v>2063</v>
      </c>
      <c r="J73" s="75">
        <f t="shared" si="35"/>
        <v>2063</v>
      </c>
      <c r="K73" s="35">
        <f>'1.09'!M73</f>
        <v>1785</v>
      </c>
      <c r="L73" s="35">
        <v>278</v>
      </c>
      <c r="M73" s="93">
        <f t="shared" si="36"/>
        <v>2063</v>
      </c>
      <c r="N73" s="35">
        <f t="shared" si="9"/>
        <v>0</v>
      </c>
      <c r="O73" s="70">
        <f t="shared" si="42"/>
        <v>100</v>
      </c>
      <c r="P73" s="71">
        <f t="shared" si="10"/>
        <v>0</v>
      </c>
      <c r="Q73" s="35">
        <f t="shared" si="41"/>
        <v>0</v>
      </c>
      <c r="R73" s="72">
        <v>1103643</v>
      </c>
      <c r="S73" s="72">
        <f t="shared" si="11"/>
        <v>4491</v>
      </c>
      <c r="T73" s="62"/>
    </row>
    <row r="74" spans="1:20" s="73" customFormat="1">
      <c r="A74" s="8"/>
      <c r="B74" s="8"/>
      <c r="C74" s="8"/>
      <c r="D74" s="45"/>
      <c r="E74" s="45"/>
      <c r="F74" s="49" t="s">
        <v>11</v>
      </c>
      <c r="G74" s="83">
        <v>8000</v>
      </c>
      <c r="H74" s="83">
        <f>267+286+318+378+383+376+247+292</f>
        <v>2547</v>
      </c>
      <c r="I74" s="83">
        <f t="shared" si="40"/>
        <v>2547</v>
      </c>
      <c r="J74" s="75">
        <f t="shared" si="35"/>
        <v>2547</v>
      </c>
      <c r="K74" s="35">
        <f>'1.09'!M74</f>
        <v>2255</v>
      </c>
      <c r="L74" s="35">
        <v>292</v>
      </c>
      <c r="M74" s="93">
        <f t="shared" si="36"/>
        <v>2547</v>
      </c>
      <c r="N74" s="35">
        <f t="shared" ref="N74:N137" si="43">I74-M74</f>
        <v>0</v>
      </c>
      <c r="O74" s="70">
        <f t="shared" si="42"/>
        <v>100</v>
      </c>
      <c r="P74" s="71">
        <f t="shared" si="10"/>
        <v>0</v>
      </c>
      <c r="Q74" s="35">
        <f t="shared" si="41"/>
        <v>0</v>
      </c>
      <c r="R74" s="72">
        <v>1103644</v>
      </c>
      <c r="S74" s="72">
        <f t="shared" si="11"/>
        <v>5453</v>
      </c>
      <c r="T74" s="62"/>
    </row>
    <row r="75" spans="1:20" s="73" customFormat="1">
      <c r="A75" s="8"/>
      <c r="B75" s="8"/>
      <c r="C75" s="8"/>
      <c r="D75" s="45"/>
      <c r="E75" s="45"/>
      <c r="F75" s="51" t="s">
        <v>58</v>
      </c>
      <c r="G75" s="82">
        <f>SUM(G76:G83)</f>
        <v>325561</v>
      </c>
      <c r="H75" s="82">
        <f t="shared" ref="H75:O75" si="44">SUM(H76:H83)</f>
        <v>314536</v>
      </c>
      <c r="I75" s="82">
        <f t="shared" si="44"/>
        <v>314536</v>
      </c>
      <c r="J75" s="108">
        <f t="shared" si="44"/>
        <v>314536</v>
      </c>
      <c r="K75" s="108">
        <f t="shared" si="44"/>
        <v>314536</v>
      </c>
      <c r="L75" s="108">
        <f t="shared" si="44"/>
        <v>0</v>
      </c>
      <c r="M75" s="123">
        <f t="shared" si="44"/>
        <v>314536</v>
      </c>
      <c r="N75" s="35">
        <f t="shared" si="43"/>
        <v>0</v>
      </c>
      <c r="O75" s="82" t="e">
        <f t="shared" si="44"/>
        <v>#DIV/0!</v>
      </c>
      <c r="P75" s="71">
        <f t="shared" ref="P75:P193" si="45">J75-M75</f>
        <v>0</v>
      </c>
      <c r="Q75" s="35">
        <f t="shared" si="41"/>
        <v>0</v>
      </c>
      <c r="R75" s="72">
        <v>1103645</v>
      </c>
      <c r="S75" s="72">
        <f t="shared" ref="S75:S193" si="46">G75-M75</f>
        <v>11025</v>
      </c>
      <c r="T75" s="62"/>
    </row>
    <row r="76" spans="1:20" s="73" customFormat="1">
      <c r="A76" s="8"/>
      <c r="B76" s="8"/>
      <c r="C76" s="8"/>
      <c r="D76" s="45"/>
      <c r="E76" s="45"/>
      <c r="F76" s="47" t="s">
        <v>46</v>
      </c>
      <c r="G76" s="83"/>
      <c r="H76" s="83"/>
      <c r="I76" s="83"/>
      <c r="J76" s="75">
        <f t="shared" ref="J76:J83" si="47">M76</f>
        <v>0</v>
      </c>
      <c r="K76" s="35">
        <f>'1.09'!M76</f>
        <v>0</v>
      </c>
      <c r="L76" s="35"/>
      <c r="M76" s="93">
        <f t="shared" ref="M76:M83" si="48">K76+L76</f>
        <v>0</v>
      </c>
      <c r="N76" s="35">
        <f t="shared" si="43"/>
        <v>0</v>
      </c>
      <c r="O76" s="70" t="e">
        <f t="shared" ref="O76:O83" si="49">M76/I76*100</f>
        <v>#DIV/0!</v>
      </c>
      <c r="P76" s="71">
        <f t="shared" si="45"/>
        <v>0</v>
      </c>
      <c r="Q76" s="35">
        <f t="shared" si="41"/>
        <v>0</v>
      </c>
      <c r="R76" s="72">
        <v>1103646</v>
      </c>
      <c r="S76" s="72">
        <f t="shared" si="46"/>
        <v>0</v>
      </c>
      <c r="T76" s="62"/>
    </row>
    <row r="77" spans="1:20" s="73" customFormat="1">
      <c r="A77" s="8"/>
      <c r="B77" s="8"/>
      <c r="C77" s="8"/>
      <c r="D77" s="45"/>
      <c r="E77" s="45"/>
      <c r="F77" s="47" t="s">
        <v>8</v>
      </c>
      <c r="G77" s="83"/>
      <c r="H77" s="83"/>
      <c r="I77" s="83"/>
      <c r="J77" s="75">
        <f t="shared" si="47"/>
        <v>0</v>
      </c>
      <c r="K77" s="35">
        <f>'1.09'!M77</f>
        <v>0</v>
      </c>
      <c r="L77" s="35"/>
      <c r="M77" s="93">
        <f t="shared" si="48"/>
        <v>0</v>
      </c>
      <c r="N77" s="35">
        <f t="shared" si="43"/>
        <v>0</v>
      </c>
      <c r="O77" s="70" t="e">
        <f t="shared" si="49"/>
        <v>#DIV/0!</v>
      </c>
      <c r="P77" s="71">
        <f t="shared" si="45"/>
        <v>0</v>
      </c>
      <c r="Q77" s="35">
        <f t="shared" si="41"/>
        <v>0</v>
      </c>
      <c r="R77" s="72">
        <v>1103647</v>
      </c>
      <c r="S77" s="72">
        <f t="shared" si="46"/>
        <v>0</v>
      </c>
      <c r="T77" s="62"/>
    </row>
    <row r="78" spans="1:20" s="73" customFormat="1">
      <c r="A78" s="8"/>
      <c r="B78" s="8"/>
      <c r="C78" s="8"/>
      <c r="D78" s="45"/>
      <c r="E78" s="45"/>
      <c r="F78" s="49" t="s">
        <v>9</v>
      </c>
      <c r="G78" s="83"/>
      <c r="H78" s="83"/>
      <c r="I78" s="83"/>
      <c r="J78" s="75">
        <f t="shared" si="47"/>
        <v>0</v>
      </c>
      <c r="K78" s="35">
        <f>'1.09'!M78</f>
        <v>0</v>
      </c>
      <c r="L78" s="35"/>
      <c r="M78" s="93">
        <f t="shared" si="48"/>
        <v>0</v>
      </c>
      <c r="N78" s="35">
        <f t="shared" si="43"/>
        <v>0</v>
      </c>
      <c r="O78" s="70" t="e">
        <f t="shared" si="49"/>
        <v>#DIV/0!</v>
      </c>
      <c r="P78" s="71">
        <f t="shared" si="45"/>
        <v>0</v>
      </c>
      <c r="Q78" s="35">
        <f t="shared" si="41"/>
        <v>0</v>
      </c>
      <c r="R78" s="72">
        <v>1103648</v>
      </c>
      <c r="S78" s="72">
        <f t="shared" si="46"/>
        <v>0</v>
      </c>
      <c r="T78" s="62"/>
    </row>
    <row r="79" spans="1:20" s="73" customFormat="1">
      <c r="A79" s="8"/>
      <c r="B79" s="8"/>
      <c r="C79" s="8"/>
      <c r="D79" s="45"/>
      <c r="E79" s="45"/>
      <c r="F79" s="49" t="s">
        <v>10</v>
      </c>
      <c r="G79" s="83"/>
      <c r="H79" s="83"/>
      <c r="I79" s="83"/>
      <c r="J79" s="75">
        <f t="shared" si="47"/>
        <v>0</v>
      </c>
      <c r="K79" s="35">
        <f>'1.09'!M79</f>
        <v>0</v>
      </c>
      <c r="L79" s="35"/>
      <c r="M79" s="93">
        <f t="shared" si="48"/>
        <v>0</v>
      </c>
      <c r="N79" s="35">
        <f t="shared" si="43"/>
        <v>0</v>
      </c>
      <c r="O79" s="70" t="e">
        <f t="shared" si="49"/>
        <v>#DIV/0!</v>
      </c>
      <c r="P79" s="71">
        <f t="shared" si="45"/>
        <v>0</v>
      </c>
      <c r="Q79" s="35">
        <f t="shared" si="41"/>
        <v>0</v>
      </c>
      <c r="R79" s="72">
        <v>1103649</v>
      </c>
      <c r="S79" s="72">
        <f t="shared" si="46"/>
        <v>0</v>
      </c>
      <c r="T79" s="62"/>
    </row>
    <row r="80" spans="1:20" s="73" customFormat="1">
      <c r="A80" s="8"/>
      <c r="B80" s="8"/>
      <c r="C80" s="8"/>
      <c r="D80" s="45"/>
      <c r="E80" s="45"/>
      <c r="F80" s="49" t="s">
        <v>47</v>
      </c>
      <c r="G80" s="83"/>
      <c r="H80" s="83"/>
      <c r="I80" s="83"/>
      <c r="J80" s="75">
        <f t="shared" si="47"/>
        <v>0</v>
      </c>
      <c r="K80" s="35">
        <f>'1.09'!M80</f>
        <v>0</v>
      </c>
      <c r="L80" s="35"/>
      <c r="M80" s="93">
        <f t="shared" si="48"/>
        <v>0</v>
      </c>
      <c r="N80" s="35">
        <f t="shared" si="43"/>
        <v>0</v>
      </c>
      <c r="O80" s="70" t="e">
        <f t="shared" si="49"/>
        <v>#DIV/0!</v>
      </c>
      <c r="P80" s="71">
        <f t="shared" si="45"/>
        <v>0</v>
      </c>
      <c r="Q80" s="35">
        <f t="shared" si="41"/>
        <v>0</v>
      </c>
      <c r="R80" s="72">
        <v>1103650</v>
      </c>
      <c r="S80" s="72">
        <f t="shared" si="46"/>
        <v>0</v>
      </c>
      <c r="T80" s="62"/>
    </row>
    <row r="81" spans="1:20" s="73" customFormat="1">
      <c r="A81" s="8"/>
      <c r="B81" s="8"/>
      <c r="C81" s="8"/>
      <c r="D81" s="45"/>
      <c r="E81" s="45"/>
      <c r="F81" s="49" t="s">
        <v>48</v>
      </c>
      <c r="G81" s="83"/>
      <c r="H81" s="83"/>
      <c r="I81" s="83"/>
      <c r="J81" s="75">
        <f t="shared" si="47"/>
        <v>0</v>
      </c>
      <c r="K81" s="35">
        <f>'1.09'!M81</f>
        <v>0</v>
      </c>
      <c r="L81" s="35"/>
      <c r="M81" s="93">
        <f t="shared" si="48"/>
        <v>0</v>
      </c>
      <c r="N81" s="35">
        <f t="shared" si="43"/>
        <v>0</v>
      </c>
      <c r="O81" s="70" t="e">
        <f t="shared" si="49"/>
        <v>#DIV/0!</v>
      </c>
      <c r="P81" s="71">
        <f t="shared" si="45"/>
        <v>0</v>
      </c>
      <c r="Q81" s="35">
        <f t="shared" si="41"/>
        <v>0</v>
      </c>
      <c r="R81" s="72">
        <v>1103651</v>
      </c>
      <c r="S81" s="72">
        <f t="shared" si="46"/>
        <v>0</v>
      </c>
      <c r="T81" s="62"/>
    </row>
    <row r="82" spans="1:20" s="73" customFormat="1">
      <c r="A82" s="8"/>
      <c r="B82" s="8"/>
      <c r="C82" s="8"/>
      <c r="D82" s="45"/>
      <c r="E82" s="45"/>
      <c r="F82" s="49" t="s">
        <v>12</v>
      </c>
      <c r="G82" s="83">
        <f>314536+11025</f>
        <v>325561</v>
      </c>
      <c r="H82" s="83">
        <v>314536</v>
      </c>
      <c r="I82" s="83">
        <f>125000+119478+33058+37000</f>
        <v>314536</v>
      </c>
      <c r="J82" s="75">
        <f t="shared" si="47"/>
        <v>314536</v>
      </c>
      <c r="K82" s="35">
        <f>'1.09'!M82</f>
        <v>314536</v>
      </c>
      <c r="L82" s="35"/>
      <c r="M82" s="93">
        <f t="shared" si="48"/>
        <v>314536</v>
      </c>
      <c r="N82" s="35">
        <f t="shared" si="43"/>
        <v>0</v>
      </c>
      <c r="O82" s="70">
        <f t="shared" si="49"/>
        <v>100</v>
      </c>
      <c r="P82" s="71">
        <f t="shared" si="45"/>
        <v>0</v>
      </c>
      <c r="Q82" s="35">
        <f t="shared" si="41"/>
        <v>0</v>
      </c>
      <c r="R82" s="72">
        <v>1103652</v>
      </c>
      <c r="S82" s="72">
        <f t="shared" si="46"/>
        <v>11025</v>
      </c>
      <c r="T82" s="62"/>
    </row>
    <row r="83" spans="1:20" s="73" customFormat="1">
      <c r="A83" s="8"/>
      <c r="B83" s="8"/>
      <c r="C83" s="8"/>
      <c r="D83" s="45"/>
      <c r="E83" s="45"/>
      <c r="F83" s="49" t="s">
        <v>11</v>
      </c>
      <c r="G83" s="83"/>
      <c r="H83" s="83"/>
      <c r="I83" s="83"/>
      <c r="J83" s="75">
        <f t="shared" si="47"/>
        <v>0</v>
      </c>
      <c r="K83" s="35">
        <f>'1.09'!M83</f>
        <v>0</v>
      </c>
      <c r="L83" s="35"/>
      <c r="M83" s="93">
        <f t="shared" si="48"/>
        <v>0</v>
      </c>
      <c r="N83" s="35">
        <f t="shared" si="43"/>
        <v>0</v>
      </c>
      <c r="O83" s="70" t="e">
        <f t="shared" si="49"/>
        <v>#DIV/0!</v>
      </c>
      <c r="P83" s="71">
        <f t="shared" si="45"/>
        <v>0</v>
      </c>
      <c r="Q83" s="35">
        <f t="shared" si="41"/>
        <v>0</v>
      </c>
      <c r="R83" s="72">
        <v>1103653</v>
      </c>
      <c r="S83" s="72">
        <f t="shared" si="46"/>
        <v>0</v>
      </c>
      <c r="T83" s="62"/>
    </row>
    <row r="84" spans="1:20" s="73" customFormat="1" ht="25.5">
      <c r="A84" s="8"/>
      <c r="B84" s="8"/>
      <c r="C84" s="8"/>
      <c r="D84" s="45"/>
      <c r="E84" s="45"/>
      <c r="F84" s="51" t="s">
        <v>59</v>
      </c>
      <c r="G84" s="82">
        <f>SUM(G85:G92)</f>
        <v>363942</v>
      </c>
      <c r="H84" s="82">
        <f t="shared" ref="H84:O84" si="50">SUM(H85:H92)</f>
        <v>287502</v>
      </c>
      <c r="I84" s="82">
        <f t="shared" si="50"/>
        <v>287502</v>
      </c>
      <c r="J84" s="108">
        <f t="shared" si="50"/>
        <v>287502</v>
      </c>
      <c r="K84" s="108">
        <f t="shared" si="50"/>
        <v>260036</v>
      </c>
      <c r="L84" s="108">
        <f t="shared" si="50"/>
        <v>27466</v>
      </c>
      <c r="M84" s="123">
        <f t="shared" si="50"/>
        <v>287502</v>
      </c>
      <c r="N84" s="35">
        <f t="shared" si="43"/>
        <v>0</v>
      </c>
      <c r="O84" s="82">
        <f t="shared" si="50"/>
        <v>800</v>
      </c>
      <c r="P84" s="71">
        <f t="shared" si="45"/>
        <v>0</v>
      </c>
      <c r="Q84" s="35">
        <f t="shared" si="41"/>
        <v>0</v>
      </c>
      <c r="R84" s="72">
        <v>1103654</v>
      </c>
      <c r="S84" s="72">
        <f t="shared" si="46"/>
        <v>76440</v>
      </c>
      <c r="T84" s="62"/>
    </row>
    <row r="85" spans="1:20" s="73" customFormat="1">
      <c r="A85" s="8"/>
      <c r="B85" s="8"/>
      <c r="C85" s="8"/>
      <c r="D85" s="45"/>
      <c r="E85" s="45"/>
      <c r="F85" s="47" t="s">
        <v>46</v>
      </c>
      <c r="G85" s="83">
        <v>188942</v>
      </c>
      <c r="H85" s="83">
        <f>20908+10000+29084+13201+68790+31037+2006+6216</f>
        <v>181242</v>
      </c>
      <c r="I85" s="83">
        <f>20908+10000+29084+13201+34782+65045+2006+6216</f>
        <v>181242</v>
      </c>
      <c r="J85" s="75">
        <f t="shared" ref="J85:J92" si="51">M85</f>
        <v>181242</v>
      </c>
      <c r="K85" s="35">
        <f>'1.09'!M85</f>
        <v>175026</v>
      </c>
      <c r="L85" s="35">
        <v>6216</v>
      </c>
      <c r="M85" s="93">
        <f t="shared" ref="M85:M92" si="52">K85+L85</f>
        <v>181242</v>
      </c>
      <c r="N85" s="35">
        <f t="shared" si="43"/>
        <v>0</v>
      </c>
      <c r="O85" s="70">
        <f t="shared" ref="O85:O203" si="53">M85/I85*100</f>
        <v>100</v>
      </c>
      <c r="P85" s="71">
        <f t="shared" si="45"/>
        <v>0</v>
      </c>
      <c r="Q85" s="35">
        <f t="shared" si="41"/>
        <v>0</v>
      </c>
      <c r="R85" s="72">
        <v>1103655</v>
      </c>
      <c r="S85" s="72">
        <f t="shared" si="46"/>
        <v>7700</v>
      </c>
      <c r="T85" s="62"/>
    </row>
    <row r="86" spans="1:20" s="73" customFormat="1">
      <c r="A86" s="8"/>
      <c r="B86" s="8"/>
      <c r="C86" s="8"/>
      <c r="D86" s="45"/>
      <c r="E86" s="45"/>
      <c r="F86" s="47" t="s">
        <v>8</v>
      </c>
      <c r="G86" s="83">
        <v>15000</v>
      </c>
      <c r="H86" s="83">
        <f>6986+7406+608</f>
        <v>15000</v>
      </c>
      <c r="I86" s="83">
        <f t="shared" ref="I86:I92" si="54">H86</f>
        <v>15000</v>
      </c>
      <c r="J86" s="75">
        <f t="shared" si="51"/>
        <v>15000</v>
      </c>
      <c r="K86" s="35">
        <f>'1.09'!M86</f>
        <v>15000</v>
      </c>
      <c r="L86" s="35"/>
      <c r="M86" s="93">
        <f t="shared" si="52"/>
        <v>15000</v>
      </c>
      <c r="N86" s="35">
        <f t="shared" si="43"/>
        <v>0</v>
      </c>
      <c r="O86" s="70">
        <f t="shared" si="53"/>
        <v>100</v>
      </c>
      <c r="P86" s="71">
        <f t="shared" si="45"/>
        <v>0</v>
      </c>
      <c r="Q86" s="35">
        <f t="shared" si="41"/>
        <v>0</v>
      </c>
      <c r="R86" s="72">
        <v>1103656</v>
      </c>
      <c r="S86" s="72">
        <f t="shared" si="46"/>
        <v>0</v>
      </c>
      <c r="T86" s="62"/>
    </row>
    <row r="87" spans="1:20" s="73" customFormat="1">
      <c r="A87" s="8"/>
      <c r="B87" s="8"/>
      <c r="C87" s="8"/>
      <c r="D87" s="45"/>
      <c r="E87" s="45"/>
      <c r="F87" s="49" t="s">
        <v>9</v>
      </c>
      <c r="G87" s="83">
        <f>15000+70000</f>
        <v>85000</v>
      </c>
      <c r="H87" s="83">
        <f>3950+6105+1105+1105+1105+1105+15000</f>
        <v>29475</v>
      </c>
      <c r="I87" s="83">
        <f>H87</f>
        <v>29475</v>
      </c>
      <c r="J87" s="75">
        <f t="shared" si="51"/>
        <v>29475</v>
      </c>
      <c r="K87" s="35">
        <f>'1.09'!M87</f>
        <v>14475</v>
      </c>
      <c r="L87" s="35">
        <v>15000</v>
      </c>
      <c r="M87" s="93">
        <f t="shared" si="52"/>
        <v>29475</v>
      </c>
      <c r="N87" s="35">
        <f t="shared" si="43"/>
        <v>0</v>
      </c>
      <c r="O87" s="70">
        <f t="shared" si="53"/>
        <v>100</v>
      </c>
      <c r="P87" s="71">
        <f t="shared" si="45"/>
        <v>0</v>
      </c>
      <c r="Q87" s="35">
        <f t="shared" si="41"/>
        <v>0</v>
      </c>
      <c r="R87" s="72">
        <v>1103657</v>
      </c>
      <c r="S87" s="72">
        <f t="shared" si="46"/>
        <v>55525</v>
      </c>
      <c r="T87" s="62"/>
    </row>
    <row r="88" spans="1:20" s="73" customFormat="1">
      <c r="A88" s="8"/>
      <c r="B88" s="8"/>
      <c r="C88" s="8"/>
      <c r="D88" s="45"/>
      <c r="E88" s="45"/>
      <c r="F88" s="49" t="s">
        <v>10</v>
      </c>
      <c r="G88" s="83">
        <v>15000</v>
      </c>
      <c r="H88" s="83">
        <f>1000+1500+1500+1500+1500+1500+1500</f>
        <v>10000</v>
      </c>
      <c r="I88" s="83">
        <f t="shared" si="54"/>
        <v>10000</v>
      </c>
      <c r="J88" s="75">
        <f t="shared" si="51"/>
        <v>10000</v>
      </c>
      <c r="K88" s="35">
        <f>'1.09'!M88</f>
        <v>8500</v>
      </c>
      <c r="L88" s="35">
        <v>1500</v>
      </c>
      <c r="M88" s="93">
        <f t="shared" si="52"/>
        <v>10000</v>
      </c>
      <c r="N88" s="35">
        <f t="shared" si="43"/>
        <v>0</v>
      </c>
      <c r="O88" s="70">
        <f t="shared" si="53"/>
        <v>100</v>
      </c>
      <c r="P88" s="71">
        <f t="shared" si="45"/>
        <v>0</v>
      </c>
      <c r="Q88" s="35">
        <f t="shared" si="41"/>
        <v>0</v>
      </c>
      <c r="R88" s="72">
        <v>1103658</v>
      </c>
      <c r="S88" s="72">
        <f t="shared" si="46"/>
        <v>5000</v>
      </c>
      <c r="T88" s="62"/>
    </row>
    <row r="89" spans="1:20" s="73" customFormat="1">
      <c r="A89" s="8"/>
      <c r="B89" s="8"/>
      <c r="C89" s="8"/>
      <c r="D89" s="45"/>
      <c r="E89" s="45"/>
      <c r="F89" s="49" t="s">
        <v>47</v>
      </c>
      <c r="G89" s="83">
        <v>15000</v>
      </c>
      <c r="H89" s="83">
        <f>2500+1250+1250+1250+1250+1250+1250+1250</f>
        <v>11250</v>
      </c>
      <c r="I89" s="83">
        <f t="shared" si="54"/>
        <v>11250</v>
      </c>
      <c r="J89" s="75">
        <f t="shared" si="51"/>
        <v>11250</v>
      </c>
      <c r="K89" s="35">
        <f>'1.09'!M89</f>
        <v>10000</v>
      </c>
      <c r="L89" s="35">
        <v>1250</v>
      </c>
      <c r="M89" s="93">
        <f t="shared" si="52"/>
        <v>11250</v>
      </c>
      <c r="N89" s="35">
        <f t="shared" si="43"/>
        <v>0</v>
      </c>
      <c r="O89" s="70">
        <f t="shared" si="53"/>
        <v>100</v>
      </c>
      <c r="P89" s="71">
        <f t="shared" si="45"/>
        <v>0</v>
      </c>
      <c r="Q89" s="35">
        <f t="shared" si="41"/>
        <v>0</v>
      </c>
      <c r="R89" s="72">
        <v>1103659</v>
      </c>
      <c r="S89" s="72">
        <f t="shared" si="46"/>
        <v>3750</v>
      </c>
      <c r="T89" s="62"/>
    </row>
    <row r="90" spans="1:20" s="73" customFormat="1">
      <c r="A90" s="8"/>
      <c r="B90" s="8"/>
      <c r="C90" s="8"/>
      <c r="D90" s="45"/>
      <c r="E90" s="45"/>
      <c r="F90" s="49" t="s">
        <v>48</v>
      </c>
      <c r="G90" s="83">
        <v>15000</v>
      </c>
      <c r="H90" s="83">
        <f>5000+5000+5000</f>
        <v>15000</v>
      </c>
      <c r="I90" s="83">
        <f t="shared" si="54"/>
        <v>15000</v>
      </c>
      <c r="J90" s="75">
        <f t="shared" si="51"/>
        <v>15000</v>
      </c>
      <c r="K90" s="35">
        <f>'1.09'!M90</f>
        <v>15000</v>
      </c>
      <c r="L90" s="35"/>
      <c r="M90" s="93">
        <f t="shared" si="52"/>
        <v>15000</v>
      </c>
      <c r="N90" s="35">
        <f t="shared" si="43"/>
        <v>0</v>
      </c>
      <c r="O90" s="70">
        <f t="shared" si="53"/>
        <v>100</v>
      </c>
      <c r="P90" s="71">
        <f t="shared" si="45"/>
        <v>0</v>
      </c>
      <c r="Q90" s="35">
        <f t="shared" si="41"/>
        <v>0</v>
      </c>
      <c r="R90" s="72">
        <v>1103660</v>
      </c>
      <c r="S90" s="72">
        <f t="shared" si="46"/>
        <v>0</v>
      </c>
      <c r="T90" s="62"/>
    </row>
    <row r="91" spans="1:20" s="73" customFormat="1">
      <c r="A91" s="8"/>
      <c r="B91" s="8"/>
      <c r="C91" s="8"/>
      <c r="D91" s="45"/>
      <c r="E91" s="45"/>
      <c r="F91" s="49" t="s">
        <v>12</v>
      </c>
      <c r="G91" s="83">
        <v>15000</v>
      </c>
      <c r="H91" s="83">
        <f>1000+1000+1000+1000+1000+500+1535+3500</f>
        <v>10535</v>
      </c>
      <c r="I91" s="83">
        <f t="shared" si="54"/>
        <v>10535</v>
      </c>
      <c r="J91" s="75">
        <f t="shared" si="51"/>
        <v>10535</v>
      </c>
      <c r="K91" s="35">
        <f>'1.09'!M91</f>
        <v>7035</v>
      </c>
      <c r="L91" s="35">
        <v>3500</v>
      </c>
      <c r="M91" s="93">
        <f t="shared" si="52"/>
        <v>10535</v>
      </c>
      <c r="N91" s="35">
        <f t="shared" si="43"/>
        <v>0</v>
      </c>
      <c r="O91" s="70">
        <f t="shared" si="53"/>
        <v>100</v>
      </c>
      <c r="P91" s="71">
        <f t="shared" si="45"/>
        <v>0</v>
      </c>
      <c r="Q91" s="35">
        <f t="shared" si="41"/>
        <v>0</v>
      </c>
      <c r="R91" s="72">
        <v>1103661</v>
      </c>
      <c r="S91" s="72">
        <f t="shared" si="46"/>
        <v>4465</v>
      </c>
      <c r="T91" s="62"/>
    </row>
    <row r="92" spans="1:20" s="73" customFormat="1">
      <c r="A92" s="8"/>
      <c r="B92" s="8"/>
      <c r="C92" s="8"/>
      <c r="D92" s="45"/>
      <c r="E92" s="45"/>
      <c r="F92" s="49" t="s">
        <v>11</v>
      </c>
      <c r="G92" s="83">
        <v>15000</v>
      </c>
      <c r="H92" s="83">
        <f>1440+3462+6137+3961</f>
        <v>15000</v>
      </c>
      <c r="I92" s="83">
        <f t="shared" si="54"/>
        <v>15000</v>
      </c>
      <c r="J92" s="75">
        <f t="shared" si="51"/>
        <v>15000</v>
      </c>
      <c r="K92" s="35">
        <f>'1.09'!M92</f>
        <v>15000</v>
      </c>
      <c r="L92" s="35"/>
      <c r="M92" s="93">
        <f t="shared" si="52"/>
        <v>15000</v>
      </c>
      <c r="N92" s="35">
        <f t="shared" si="43"/>
        <v>0</v>
      </c>
      <c r="O92" s="70">
        <f t="shared" si="53"/>
        <v>100</v>
      </c>
      <c r="P92" s="71">
        <f t="shared" si="45"/>
        <v>0</v>
      </c>
      <c r="Q92" s="35">
        <f t="shared" si="41"/>
        <v>0</v>
      </c>
      <c r="R92" s="72">
        <v>1103662</v>
      </c>
      <c r="S92" s="72">
        <f t="shared" si="46"/>
        <v>0</v>
      </c>
      <c r="T92" s="62"/>
    </row>
    <row r="93" spans="1:20" s="73" customFormat="1">
      <c r="A93" s="8"/>
      <c r="B93" s="8"/>
      <c r="C93" s="8"/>
      <c r="D93" s="45"/>
      <c r="E93" s="45"/>
      <c r="F93" s="51" t="s">
        <v>65</v>
      </c>
      <c r="G93" s="82">
        <f>SUM(G94:G101)</f>
        <v>130000</v>
      </c>
      <c r="H93" s="82">
        <f t="shared" ref="H93:O93" si="55">SUM(H94:H101)</f>
        <v>58507</v>
      </c>
      <c r="I93" s="82">
        <f t="shared" si="55"/>
        <v>58507</v>
      </c>
      <c r="J93" s="108">
        <f t="shared" si="55"/>
        <v>58507</v>
      </c>
      <c r="K93" s="108">
        <f t="shared" si="55"/>
        <v>57307</v>
      </c>
      <c r="L93" s="108">
        <f t="shared" si="55"/>
        <v>1200</v>
      </c>
      <c r="M93" s="123">
        <f t="shared" si="55"/>
        <v>58507</v>
      </c>
      <c r="N93" s="35">
        <f t="shared" si="43"/>
        <v>0</v>
      </c>
      <c r="O93" s="82" t="e">
        <f t="shared" si="55"/>
        <v>#DIV/0!</v>
      </c>
      <c r="P93" s="71">
        <f t="shared" si="45"/>
        <v>0</v>
      </c>
      <c r="Q93" s="35">
        <f t="shared" si="41"/>
        <v>0</v>
      </c>
      <c r="R93" s="72">
        <v>1103654</v>
      </c>
      <c r="S93" s="72">
        <f t="shared" si="46"/>
        <v>71493</v>
      </c>
      <c r="T93" s="62"/>
    </row>
    <row r="94" spans="1:20" s="73" customFormat="1">
      <c r="A94" s="8"/>
      <c r="B94" s="8"/>
      <c r="C94" s="8"/>
      <c r="D94" s="45"/>
      <c r="E94" s="45"/>
      <c r="F94" s="47" t="s">
        <v>46</v>
      </c>
      <c r="G94" s="48">
        <v>86229</v>
      </c>
      <c r="H94" s="83">
        <f>26324+11981+11981</f>
        <v>50286</v>
      </c>
      <c r="I94" s="83">
        <f>H94</f>
        <v>50286</v>
      </c>
      <c r="J94" s="75">
        <f t="shared" ref="J94:J101" si="56">M94</f>
        <v>50286</v>
      </c>
      <c r="K94" s="35">
        <f>'1.09'!M94</f>
        <v>50286</v>
      </c>
      <c r="L94" s="35"/>
      <c r="M94" s="93">
        <f t="shared" ref="M94:M101" si="57">K94+L94</f>
        <v>50286</v>
      </c>
      <c r="N94" s="35">
        <f t="shared" si="43"/>
        <v>0</v>
      </c>
      <c r="O94" s="70">
        <f t="shared" ref="O94:O101" si="58">M94/I94*100</f>
        <v>100</v>
      </c>
      <c r="P94" s="71">
        <f t="shared" si="45"/>
        <v>0</v>
      </c>
      <c r="Q94" s="35">
        <f t="shared" si="41"/>
        <v>0</v>
      </c>
      <c r="R94" s="72">
        <v>1103655</v>
      </c>
      <c r="S94" s="72">
        <f t="shared" si="46"/>
        <v>35943</v>
      </c>
      <c r="T94" s="62"/>
    </row>
    <row r="95" spans="1:20" s="73" customFormat="1">
      <c r="A95" s="8"/>
      <c r="B95" s="8"/>
      <c r="C95" s="8"/>
      <c r="D95" s="45"/>
      <c r="E95" s="45"/>
      <c r="F95" s="47" t="s">
        <v>8</v>
      </c>
      <c r="G95" s="48">
        <v>4898</v>
      </c>
      <c r="H95" s="83">
        <f>616+4282</f>
        <v>4898</v>
      </c>
      <c r="I95" s="83">
        <f t="shared" ref="I95:I101" si="59">H95</f>
        <v>4898</v>
      </c>
      <c r="J95" s="75">
        <f t="shared" si="56"/>
        <v>4898</v>
      </c>
      <c r="K95" s="35">
        <f>'1.09'!M95</f>
        <v>4898</v>
      </c>
      <c r="L95" s="35"/>
      <c r="M95" s="93">
        <f t="shared" si="57"/>
        <v>4898</v>
      </c>
      <c r="N95" s="35">
        <f t="shared" si="43"/>
        <v>0</v>
      </c>
      <c r="O95" s="70">
        <f t="shared" si="58"/>
        <v>100</v>
      </c>
      <c r="P95" s="71">
        <f t="shared" si="45"/>
        <v>0</v>
      </c>
      <c r="Q95" s="35">
        <f t="shared" si="41"/>
        <v>0</v>
      </c>
      <c r="R95" s="72">
        <v>1103656</v>
      </c>
      <c r="S95" s="72">
        <f t="shared" si="46"/>
        <v>0</v>
      </c>
      <c r="T95" s="62"/>
    </row>
    <row r="96" spans="1:20" s="73" customFormat="1">
      <c r="A96" s="8"/>
      <c r="B96" s="8"/>
      <c r="C96" s="8"/>
      <c r="D96" s="45"/>
      <c r="E96" s="45"/>
      <c r="F96" s="49" t="s">
        <v>9</v>
      </c>
      <c r="G96" s="48">
        <v>3290</v>
      </c>
      <c r="H96" s="83"/>
      <c r="I96" s="83">
        <f t="shared" si="59"/>
        <v>0</v>
      </c>
      <c r="J96" s="75">
        <f t="shared" si="56"/>
        <v>0</v>
      </c>
      <c r="K96" s="35">
        <f>'1.09'!M96</f>
        <v>0</v>
      </c>
      <c r="L96" s="35"/>
      <c r="M96" s="93">
        <f t="shared" si="57"/>
        <v>0</v>
      </c>
      <c r="N96" s="35">
        <f t="shared" si="43"/>
        <v>0</v>
      </c>
      <c r="O96" s="70" t="e">
        <f t="shared" si="58"/>
        <v>#DIV/0!</v>
      </c>
      <c r="P96" s="71">
        <f t="shared" si="45"/>
        <v>0</v>
      </c>
      <c r="Q96" s="35">
        <f t="shared" si="41"/>
        <v>0</v>
      </c>
      <c r="R96" s="72">
        <v>1103657</v>
      </c>
      <c r="S96" s="72">
        <f t="shared" si="46"/>
        <v>3290</v>
      </c>
      <c r="T96" s="62"/>
    </row>
    <row r="97" spans="1:20" s="73" customFormat="1">
      <c r="A97" s="8"/>
      <c r="B97" s="8"/>
      <c r="C97" s="8"/>
      <c r="D97" s="45"/>
      <c r="E97" s="45"/>
      <c r="F97" s="49" t="s">
        <v>10</v>
      </c>
      <c r="G97" s="48">
        <v>3918</v>
      </c>
      <c r="H97" s="83">
        <f>78+1200</f>
        <v>1278</v>
      </c>
      <c r="I97" s="83">
        <f t="shared" si="59"/>
        <v>1278</v>
      </c>
      <c r="J97" s="75">
        <f t="shared" si="56"/>
        <v>1278</v>
      </c>
      <c r="K97" s="35">
        <f>'1.09'!M97</f>
        <v>78</v>
      </c>
      <c r="L97" s="35">
        <v>1200</v>
      </c>
      <c r="M97" s="93">
        <f t="shared" si="57"/>
        <v>1278</v>
      </c>
      <c r="N97" s="35">
        <f t="shared" si="43"/>
        <v>0</v>
      </c>
      <c r="O97" s="70">
        <f t="shared" si="58"/>
        <v>100</v>
      </c>
      <c r="P97" s="71">
        <f t="shared" si="45"/>
        <v>0</v>
      </c>
      <c r="Q97" s="35">
        <f t="shared" si="41"/>
        <v>0</v>
      </c>
      <c r="R97" s="72">
        <v>1103658</v>
      </c>
      <c r="S97" s="72">
        <f t="shared" si="46"/>
        <v>2640</v>
      </c>
      <c r="T97" s="62"/>
    </row>
    <row r="98" spans="1:20" s="73" customFormat="1">
      <c r="A98" s="8"/>
      <c r="B98" s="8"/>
      <c r="C98" s="8"/>
      <c r="D98" s="45"/>
      <c r="E98" s="45"/>
      <c r="F98" s="49" t="s">
        <v>47</v>
      </c>
      <c r="G98" s="48">
        <v>4017</v>
      </c>
      <c r="H98" s="83">
        <f>2000-1455</f>
        <v>545</v>
      </c>
      <c r="I98" s="83">
        <f>H98</f>
        <v>545</v>
      </c>
      <c r="J98" s="75">
        <f t="shared" si="56"/>
        <v>545</v>
      </c>
      <c r="K98" s="35">
        <f>'1.09'!M98</f>
        <v>545</v>
      </c>
      <c r="L98" s="35"/>
      <c r="M98" s="93">
        <f t="shared" si="57"/>
        <v>545</v>
      </c>
      <c r="N98" s="35">
        <f t="shared" si="43"/>
        <v>0</v>
      </c>
      <c r="O98" s="70">
        <f t="shared" si="58"/>
        <v>100</v>
      </c>
      <c r="P98" s="71">
        <f t="shared" si="45"/>
        <v>0</v>
      </c>
      <c r="Q98" s="35">
        <f t="shared" si="41"/>
        <v>0</v>
      </c>
      <c r="R98" s="72">
        <v>1103659</v>
      </c>
      <c r="S98" s="72">
        <f t="shared" si="46"/>
        <v>3472</v>
      </c>
      <c r="T98" s="62"/>
    </row>
    <row r="99" spans="1:20" s="73" customFormat="1">
      <c r="A99" s="8"/>
      <c r="B99" s="8"/>
      <c r="C99" s="8"/>
      <c r="D99" s="45"/>
      <c r="E99" s="45"/>
      <c r="F99" s="49" t="s">
        <v>48</v>
      </c>
      <c r="G99" s="48">
        <v>12606</v>
      </c>
      <c r="H99" s="83"/>
      <c r="I99" s="83">
        <f t="shared" si="59"/>
        <v>0</v>
      </c>
      <c r="J99" s="75">
        <f t="shared" si="56"/>
        <v>0</v>
      </c>
      <c r="K99" s="35">
        <f>'1.09'!M99</f>
        <v>0</v>
      </c>
      <c r="L99" s="35"/>
      <c r="M99" s="93">
        <f t="shared" si="57"/>
        <v>0</v>
      </c>
      <c r="N99" s="35">
        <f t="shared" si="43"/>
        <v>0</v>
      </c>
      <c r="O99" s="70" t="e">
        <f t="shared" si="58"/>
        <v>#DIV/0!</v>
      </c>
      <c r="P99" s="71">
        <f t="shared" si="45"/>
        <v>0</v>
      </c>
      <c r="Q99" s="35">
        <f t="shared" si="41"/>
        <v>0</v>
      </c>
      <c r="R99" s="72">
        <v>1103660</v>
      </c>
      <c r="S99" s="72">
        <f t="shared" si="46"/>
        <v>12606</v>
      </c>
      <c r="T99" s="62"/>
    </row>
    <row r="100" spans="1:20" s="73" customFormat="1">
      <c r="A100" s="8"/>
      <c r="B100" s="8"/>
      <c r="C100" s="8"/>
      <c r="D100" s="45"/>
      <c r="E100" s="45"/>
      <c r="F100" s="49" t="s">
        <v>12</v>
      </c>
      <c r="G100" s="48">
        <v>9417</v>
      </c>
      <c r="H100" s="83">
        <f>1000+500</f>
        <v>1500</v>
      </c>
      <c r="I100" s="83">
        <f t="shared" si="59"/>
        <v>1500</v>
      </c>
      <c r="J100" s="75">
        <f t="shared" si="56"/>
        <v>1500</v>
      </c>
      <c r="K100" s="35">
        <f>'1.09'!M100</f>
        <v>1500</v>
      </c>
      <c r="L100" s="35"/>
      <c r="M100" s="93">
        <f t="shared" si="57"/>
        <v>1500</v>
      </c>
      <c r="N100" s="35">
        <f t="shared" si="43"/>
        <v>0</v>
      </c>
      <c r="O100" s="70">
        <f t="shared" si="58"/>
        <v>100</v>
      </c>
      <c r="P100" s="71">
        <f t="shared" si="45"/>
        <v>0</v>
      </c>
      <c r="Q100" s="35">
        <f t="shared" si="41"/>
        <v>0</v>
      </c>
      <c r="R100" s="72">
        <v>1103661</v>
      </c>
      <c r="S100" s="72">
        <f t="shared" si="46"/>
        <v>7917</v>
      </c>
      <c r="T100" s="62"/>
    </row>
    <row r="101" spans="1:20" s="73" customFormat="1">
      <c r="A101" s="8"/>
      <c r="B101" s="8"/>
      <c r="C101" s="8"/>
      <c r="D101" s="45"/>
      <c r="E101" s="45"/>
      <c r="F101" s="49" t="s">
        <v>11</v>
      </c>
      <c r="G101" s="48">
        <v>5625</v>
      </c>
      <c r="H101" s="83"/>
      <c r="I101" s="83">
        <f t="shared" si="59"/>
        <v>0</v>
      </c>
      <c r="J101" s="75">
        <f t="shared" si="56"/>
        <v>0</v>
      </c>
      <c r="K101" s="35">
        <f>'1.09'!M101</f>
        <v>0</v>
      </c>
      <c r="L101" s="35"/>
      <c r="M101" s="93">
        <f t="shared" si="57"/>
        <v>0</v>
      </c>
      <c r="N101" s="35">
        <f t="shared" si="43"/>
        <v>0</v>
      </c>
      <c r="O101" s="70" t="e">
        <f t="shared" si="58"/>
        <v>#DIV/0!</v>
      </c>
      <c r="P101" s="71">
        <f t="shared" si="45"/>
        <v>0</v>
      </c>
      <c r="Q101" s="35">
        <f t="shared" si="41"/>
        <v>0</v>
      </c>
      <c r="R101" s="72">
        <v>1103662</v>
      </c>
      <c r="S101" s="72">
        <f t="shared" si="46"/>
        <v>5625</v>
      </c>
      <c r="T101" s="62"/>
    </row>
    <row r="102" spans="1:20" s="73" customFormat="1">
      <c r="A102" s="8"/>
      <c r="B102" s="8"/>
      <c r="C102" s="8"/>
      <c r="D102" s="45"/>
      <c r="E102" s="45"/>
      <c r="F102" s="51" t="s">
        <v>67</v>
      </c>
      <c r="G102" s="82">
        <f>SUM(G103:G110)</f>
        <v>19000</v>
      </c>
      <c r="H102" s="82">
        <f t="shared" ref="H102:O102" si="60">SUM(H103:H110)</f>
        <v>19000</v>
      </c>
      <c r="I102" s="82">
        <f t="shared" si="60"/>
        <v>2492</v>
      </c>
      <c r="J102" s="108">
        <f t="shared" si="60"/>
        <v>2492</v>
      </c>
      <c r="K102" s="108">
        <f t="shared" si="60"/>
        <v>0</v>
      </c>
      <c r="L102" s="108">
        <f t="shared" si="60"/>
        <v>2492</v>
      </c>
      <c r="M102" s="123">
        <f t="shared" si="60"/>
        <v>2492</v>
      </c>
      <c r="N102" s="35">
        <f t="shared" si="43"/>
        <v>0</v>
      </c>
      <c r="O102" s="82" t="e">
        <f t="shared" si="60"/>
        <v>#DIV/0!</v>
      </c>
      <c r="P102" s="71">
        <f t="shared" si="45"/>
        <v>0</v>
      </c>
      <c r="Q102" s="35">
        <f t="shared" si="41"/>
        <v>16508</v>
      </c>
      <c r="R102" s="72">
        <v>1103654</v>
      </c>
      <c r="S102" s="72">
        <f t="shared" si="46"/>
        <v>16508</v>
      </c>
      <c r="T102" s="62"/>
    </row>
    <row r="103" spans="1:20" s="73" customFormat="1">
      <c r="A103" s="8"/>
      <c r="B103" s="8"/>
      <c r="C103" s="8"/>
      <c r="D103" s="45"/>
      <c r="E103" s="45"/>
      <c r="F103" s="47" t="s">
        <v>46</v>
      </c>
      <c r="G103" s="48"/>
      <c r="H103" s="83"/>
      <c r="I103" s="83"/>
      <c r="J103" s="75"/>
      <c r="K103" s="35"/>
      <c r="L103" s="35"/>
      <c r="M103" s="93">
        <f t="shared" ref="M103:M110" si="61">K103+L103</f>
        <v>0</v>
      </c>
      <c r="N103" s="35">
        <f t="shared" si="43"/>
        <v>0</v>
      </c>
      <c r="O103" s="70" t="e">
        <f t="shared" ref="O103:O110" si="62">M103/I103*100</f>
        <v>#DIV/0!</v>
      </c>
      <c r="P103" s="71">
        <f t="shared" si="45"/>
        <v>0</v>
      </c>
      <c r="Q103" s="35">
        <f t="shared" si="41"/>
        <v>0</v>
      </c>
      <c r="R103" s="72">
        <v>1103655</v>
      </c>
      <c r="S103" s="72">
        <f t="shared" si="46"/>
        <v>0</v>
      </c>
      <c r="T103" s="62"/>
    </row>
    <row r="104" spans="1:20" s="73" customFormat="1">
      <c r="A104" s="8"/>
      <c r="B104" s="8"/>
      <c r="C104" s="8"/>
      <c r="D104" s="45"/>
      <c r="E104" s="45"/>
      <c r="F104" s="47" t="s">
        <v>8</v>
      </c>
      <c r="G104" s="48"/>
      <c r="H104" s="83"/>
      <c r="I104" s="83"/>
      <c r="J104" s="75"/>
      <c r="K104" s="35"/>
      <c r="L104" s="35"/>
      <c r="M104" s="93">
        <f t="shared" si="61"/>
        <v>0</v>
      </c>
      <c r="N104" s="35">
        <f t="shared" si="43"/>
        <v>0</v>
      </c>
      <c r="O104" s="70" t="e">
        <f t="shared" si="62"/>
        <v>#DIV/0!</v>
      </c>
      <c r="P104" s="71">
        <f t="shared" si="45"/>
        <v>0</v>
      </c>
      <c r="Q104" s="35">
        <f t="shared" si="41"/>
        <v>0</v>
      </c>
      <c r="R104" s="72">
        <v>1103656</v>
      </c>
      <c r="S104" s="72">
        <f t="shared" si="46"/>
        <v>0</v>
      </c>
      <c r="T104" s="62"/>
    </row>
    <row r="105" spans="1:20" s="73" customFormat="1">
      <c r="A105" s="8"/>
      <c r="B105" s="8"/>
      <c r="C105" s="8"/>
      <c r="D105" s="45"/>
      <c r="E105" s="45"/>
      <c r="F105" s="49" t="s">
        <v>9</v>
      </c>
      <c r="G105" s="48">
        <v>19000</v>
      </c>
      <c r="H105" s="83">
        <v>19000</v>
      </c>
      <c r="I105" s="83">
        <v>2492</v>
      </c>
      <c r="J105" s="75">
        <v>2492</v>
      </c>
      <c r="K105" s="35"/>
      <c r="L105" s="35">
        <v>2492</v>
      </c>
      <c r="M105" s="93">
        <f t="shared" si="61"/>
        <v>2492</v>
      </c>
      <c r="N105" s="35">
        <f t="shared" si="43"/>
        <v>0</v>
      </c>
      <c r="O105" s="70">
        <f t="shared" si="62"/>
        <v>100</v>
      </c>
      <c r="P105" s="71">
        <f t="shared" si="45"/>
        <v>0</v>
      </c>
      <c r="Q105" s="35">
        <f t="shared" si="41"/>
        <v>16508</v>
      </c>
      <c r="R105" s="72">
        <v>1103657</v>
      </c>
      <c r="S105" s="72">
        <f t="shared" si="46"/>
        <v>16508</v>
      </c>
      <c r="T105" s="62"/>
    </row>
    <row r="106" spans="1:20" s="73" customFormat="1">
      <c r="A106" s="8"/>
      <c r="B106" s="8"/>
      <c r="C106" s="8"/>
      <c r="D106" s="45"/>
      <c r="E106" s="45"/>
      <c r="F106" s="49" t="s">
        <v>10</v>
      </c>
      <c r="G106" s="48"/>
      <c r="H106" s="83"/>
      <c r="I106" s="83"/>
      <c r="J106" s="75"/>
      <c r="K106" s="35"/>
      <c r="L106" s="35"/>
      <c r="M106" s="93">
        <f t="shared" si="61"/>
        <v>0</v>
      </c>
      <c r="N106" s="35">
        <f t="shared" si="43"/>
        <v>0</v>
      </c>
      <c r="O106" s="70" t="e">
        <f t="shared" si="62"/>
        <v>#DIV/0!</v>
      </c>
      <c r="P106" s="71">
        <f t="shared" si="45"/>
        <v>0</v>
      </c>
      <c r="Q106" s="35">
        <f t="shared" si="41"/>
        <v>0</v>
      </c>
      <c r="R106" s="72">
        <v>1103658</v>
      </c>
      <c r="S106" s="72">
        <f t="shared" si="46"/>
        <v>0</v>
      </c>
      <c r="T106" s="62"/>
    </row>
    <row r="107" spans="1:20" s="73" customFormat="1">
      <c r="A107" s="8"/>
      <c r="B107" s="8"/>
      <c r="C107" s="8"/>
      <c r="D107" s="45"/>
      <c r="E107" s="45"/>
      <c r="F107" s="49" t="s">
        <v>47</v>
      </c>
      <c r="G107" s="48"/>
      <c r="H107" s="83"/>
      <c r="I107" s="83"/>
      <c r="J107" s="75"/>
      <c r="K107" s="35"/>
      <c r="L107" s="35"/>
      <c r="M107" s="93">
        <f t="shared" si="61"/>
        <v>0</v>
      </c>
      <c r="N107" s="35">
        <f t="shared" si="43"/>
        <v>0</v>
      </c>
      <c r="O107" s="70" t="e">
        <f t="shared" si="62"/>
        <v>#DIV/0!</v>
      </c>
      <c r="P107" s="71">
        <f t="shared" si="45"/>
        <v>0</v>
      </c>
      <c r="Q107" s="35">
        <f t="shared" si="41"/>
        <v>0</v>
      </c>
      <c r="R107" s="72">
        <v>1103659</v>
      </c>
      <c r="S107" s="72">
        <f t="shared" si="46"/>
        <v>0</v>
      </c>
      <c r="T107" s="62"/>
    </row>
    <row r="108" spans="1:20" s="73" customFormat="1">
      <c r="A108" s="8"/>
      <c r="B108" s="8"/>
      <c r="C108" s="8"/>
      <c r="D108" s="45"/>
      <c r="E108" s="45"/>
      <c r="F108" s="49" t="s">
        <v>48</v>
      </c>
      <c r="G108" s="48"/>
      <c r="H108" s="83"/>
      <c r="I108" s="83"/>
      <c r="J108" s="75"/>
      <c r="K108" s="35"/>
      <c r="L108" s="35"/>
      <c r="M108" s="93">
        <f t="shared" si="61"/>
        <v>0</v>
      </c>
      <c r="N108" s="35">
        <f t="shared" si="43"/>
        <v>0</v>
      </c>
      <c r="O108" s="70" t="e">
        <f t="shared" si="62"/>
        <v>#DIV/0!</v>
      </c>
      <c r="P108" s="71">
        <f t="shared" si="45"/>
        <v>0</v>
      </c>
      <c r="Q108" s="35">
        <f t="shared" si="41"/>
        <v>0</v>
      </c>
      <c r="R108" s="72">
        <v>1103660</v>
      </c>
      <c r="S108" s="72">
        <f t="shared" si="46"/>
        <v>0</v>
      </c>
      <c r="T108" s="62"/>
    </row>
    <row r="109" spans="1:20" s="73" customFormat="1">
      <c r="A109" s="8"/>
      <c r="B109" s="8"/>
      <c r="C109" s="8"/>
      <c r="D109" s="45"/>
      <c r="E109" s="45"/>
      <c r="F109" s="49" t="s">
        <v>12</v>
      </c>
      <c r="G109" s="48"/>
      <c r="H109" s="83"/>
      <c r="I109" s="83"/>
      <c r="J109" s="75"/>
      <c r="K109" s="35"/>
      <c r="L109" s="35"/>
      <c r="M109" s="93">
        <f t="shared" si="61"/>
        <v>0</v>
      </c>
      <c r="N109" s="35">
        <f t="shared" si="43"/>
        <v>0</v>
      </c>
      <c r="O109" s="70" t="e">
        <f t="shared" si="62"/>
        <v>#DIV/0!</v>
      </c>
      <c r="P109" s="71">
        <f t="shared" si="45"/>
        <v>0</v>
      </c>
      <c r="Q109" s="35">
        <f t="shared" si="41"/>
        <v>0</v>
      </c>
      <c r="R109" s="72">
        <v>1103661</v>
      </c>
      <c r="S109" s="72">
        <f t="shared" si="46"/>
        <v>0</v>
      </c>
      <c r="T109" s="62"/>
    </row>
    <row r="110" spans="1:20" s="73" customFormat="1">
      <c r="A110" s="8"/>
      <c r="B110" s="8"/>
      <c r="C110" s="8"/>
      <c r="D110" s="45"/>
      <c r="E110" s="45"/>
      <c r="F110" s="49" t="s">
        <v>11</v>
      </c>
      <c r="G110" s="48"/>
      <c r="H110" s="83"/>
      <c r="I110" s="83"/>
      <c r="J110" s="75"/>
      <c r="K110" s="35"/>
      <c r="L110" s="35"/>
      <c r="M110" s="93">
        <f t="shared" si="61"/>
        <v>0</v>
      </c>
      <c r="N110" s="35">
        <f t="shared" si="43"/>
        <v>0</v>
      </c>
      <c r="O110" s="70" t="e">
        <f t="shared" si="62"/>
        <v>#DIV/0!</v>
      </c>
      <c r="P110" s="71">
        <f t="shared" si="45"/>
        <v>0</v>
      </c>
      <c r="Q110" s="35">
        <f t="shared" si="41"/>
        <v>0</v>
      </c>
      <c r="R110" s="72">
        <v>1103662</v>
      </c>
      <c r="S110" s="72">
        <f t="shared" si="46"/>
        <v>0</v>
      </c>
      <c r="T110" s="62"/>
    </row>
    <row r="111" spans="1:20" s="73" customFormat="1">
      <c r="A111" s="8"/>
      <c r="B111" s="8"/>
      <c r="C111" s="8"/>
      <c r="D111" s="45"/>
      <c r="E111" s="45"/>
      <c r="F111" s="51" t="s">
        <v>68</v>
      </c>
      <c r="G111" s="48">
        <f>SUM(G112:G119)</f>
        <v>12523</v>
      </c>
      <c r="H111" s="48">
        <f t="shared" ref="H111:M111" si="63">SUM(H112:H119)</f>
        <v>0</v>
      </c>
      <c r="I111" s="48">
        <f t="shared" si="63"/>
        <v>0</v>
      </c>
      <c r="J111" s="48">
        <f t="shared" si="63"/>
        <v>0</v>
      </c>
      <c r="K111" s="48">
        <f t="shared" si="63"/>
        <v>0</v>
      </c>
      <c r="L111" s="48">
        <f t="shared" si="63"/>
        <v>0</v>
      </c>
      <c r="M111" s="48">
        <f t="shared" si="63"/>
        <v>0</v>
      </c>
      <c r="N111" s="35">
        <f t="shared" si="43"/>
        <v>0</v>
      </c>
      <c r="O111" s="70" t="e">
        <f t="shared" ref="O111:O146" si="64">M111/I111*100</f>
        <v>#DIV/0!</v>
      </c>
      <c r="P111" s="71">
        <f t="shared" ref="P111:P146" si="65">J111-M111</f>
        <v>0</v>
      </c>
      <c r="Q111" s="35">
        <f t="shared" si="41"/>
        <v>0</v>
      </c>
      <c r="R111" s="72">
        <v>1103663</v>
      </c>
      <c r="S111" s="72">
        <f t="shared" ref="S111:S146" si="66">G111-M111</f>
        <v>12523</v>
      </c>
      <c r="T111" s="62"/>
    </row>
    <row r="112" spans="1:20" s="73" customFormat="1">
      <c r="A112" s="8"/>
      <c r="B112" s="8"/>
      <c r="C112" s="8"/>
      <c r="D112" s="45"/>
      <c r="E112" s="45"/>
      <c r="F112" s="47" t="s">
        <v>46</v>
      </c>
      <c r="G112" s="48"/>
      <c r="H112" s="83"/>
      <c r="I112" s="83"/>
      <c r="J112" s="75"/>
      <c r="K112" s="35"/>
      <c r="L112" s="35"/>
      <c r="M112" s="93">
        <f t="shared" ref="M112:M146" si="67">K112+L112</f>
        <v>0</v>
      </c>
      <c r="N112" s="35">
        <f t="shared" si="43"/>
        <v>0</v>
      </c>
      <c r="O112" s="70" t="e">
        <f t="shared" si="64"/>
        <v>#DIV/0!</v>
      </c>
      <c r="P112" s="71">
        <f t="shared" si="65"/>
        <v>0</v>
      </c>
      <c r="Q112" s="35">
        <f t="shared" si="41"/>
        <v>0</v>
      </c>
      <c r="R112" s="72">
        <v>1103664</v>
      </c>
      <c r="S112" s="72">
        <f t="shared" si="66"/>
        <v>0</v>
      </c>
      <c r="T112" s="62"/>
    </row>
    <row r="113" spans="1:20" s="73" customFormat="1">
      <c r="A113" s="8"/>
      <c r="B113" s="8"/>
      <c r="C113" s="8"/>
      <c r="D113" s="45"/>
      <c r="E113" s="45"/>
      <c r="F113" s="47" t="s">
        <v>8</v>
      </c>
      <c r="G113" s="48"/>
      <c r="H113" s="83"/>
      <c r="I113" s="83"/>
      <c r="J113" s="75"/>
      <c r="K113" s="35"/>
      <c r="L113" s="35"/>
      <c r="M113" s="93">
        <f t="shared" si="67"/>
        <v>0</v>
      </c>
      <c r="N113" s="35">
        <f t="shared" si="43"/>
        <v>0</v>
      </c>
      <c r="O113" s="70" t="e">
        <f t="shared" si="64"/>
        <v>#DIV/0!</v>
      </c>
      <c r="P113" s="71">
        <f t="shared" si="65"/>
        <v>0</v>
      </c>
      <c r="Q113" s="35">
        <f t="shared" si="41"/>
        <v>0</v>
      </c>
      <c r="R113" s="72">
        <v>1103665</v>
      </c>
      <c r="S113" s="72">
        <f t="shared" si="66"/>
        <v>0</v>
      </c>
      <c r="T113" s="62"/>
    </row>
    <row r="114" spans="1:20" s="73" customFormat="1">
      <c r="A114" s="8"/>
      <c r="B114" s="8"/>
      <c r="C114" s="8"/>
      <c r="D114" s="45"/>
      <c r="E114" s="45"/>
      <c r="F114" s="49" t="s">
        <v>9</v>
      </c>
      <c r="G114" s="48"/>
      <c r="H114" s="83"/>
      <c r="I114" s="83"/>
      <c r="J114" s="75"/>
      <c r="K114" s="35"/>
      <c r="L114" s="35"/>
      <c r="M114" s="93">
        <f t="shared" si="67"/>
        <v>0</v>
      </c>
      <c r="N114" s="35">
        <f t="shared" si="43"/>
        <v>0</v>
      </c>
      <c r="O114" s="70" t="e">
        <f t="shared" si="64"/>
        <v>#DIV/0!</v>
      </c>
      <c r="P114" s="71">
        <f t="shared" si="65"/>
        <v>0</v>
      </c>
      <c r="Q114" s="35">
        <f t="shared" si="41"/>
        <v>0</v>
      </c>
      <c r="R114" s="72">
        <v>1103666</v>
      </c>
      <c r="S114" s="72">
        <f t="shared" si="66"/>
        <v>0</v>
      </c>
      <c r="T114" s="62"/>
    </row>
    <row r="115" spans="1:20" s="73" customFormat="1">
      <c r="A115" s="8"/>
      <c r="B115" s="8"/>
      <c r="C115" s="8"/>
      <c r="D115" s="45"/>
      <c r="E115" s="45"/>
      <c r="F115" s="49" t="s">
        <v>10</v>
      </c>
      <c r="G115" s="48">
        <v>6273</v>
      </c>
      <c r="H115" s="83"/>
      <c r="I115" s="83"/>
      <c r="J115" s="75"/>
      <c r="K115" s="35"/>
      <c r="L115" s="35"/>
      <c r="M115" s="93">
        <f t="shared" si="67"/>
        <v>0</v>
      </c>
      <c r="N115" s="35">
        <f t="shared" si="43"/>
        <v>0</v>
      </c>
      <c r="O115" s="70" t="e">
        <f t="shared" si="64"/>
        <v>#DIV/0!</v>
      </c>
      <c r="P115" s="71">
        <f t="shared" si="65"/>
        <v>0</v>
      </c>
      <c r="Q115" s="35">
        <f t="shared" si="41"/>
        <v>0</v>
      </c>
      <c r="R115" s="72">
        <v>1103667</v>
      </c>
      <c r="S115" s="72">
        <f t="shared" si="66"/>
        <v>6273</v>
      </c>
      <c r="T115" s="62"/>
    </row>
    <row r="116" spans="1:20" s="73" customFormat="1">
      <c r="A116" s="8"/>
      <c r="B116" s="8"/>
      <c r="C116" s="8"/>
      <c r="D116" s="45"/>
      <c r="E116" s="45"/>
      <c r="F116" s="49" t="s">
        <v>47</v>
      </c>
      <c r="G116" s="48"/>
      <c r="H116" s="83"/>
      <c r="I116" s="83"/>
      <c r="J116" s="75"/>
      <c r="K116" s="35"/>
      <c r="L116" s="35"/>
      <c r="M116" s="93">
        <f t="shared" si="67"/>
        <v>0</v>
      </c>
      <c r="N116" s="35">
        <f t="shared" si="43"/>
        <v>0</v>
      </c>
      <c r="O116" s="70" t="e">
        <f t="shared" si="64"/>
        <v>#DIV/0!</v>
      </c>
      <c r="P116" s="71">
        <f t="shared" si="65"/>
        <v>0</v>
      </c>
      <c r="Q116" s="35">
        <f t="shared" si="41"/>
        <v>0</v>
      </c>
      <c r="R116" s="72">
        <v>1103668</v>
      </c>
      <c r="S116" s="72">
        <f t="shared" si="66"/>
        <v>0</v>
      </c>
      <c r="T116" s="62"/>
    </row>
    <row r="117" spans="1:20" s="73" customFormat="1">
      <c r="A117" s="8"/>
      <c r="B117" s="8"/>
      <c r="C117" s="8"/>
      <c r="D117" s="45"/>
      <c r="E117" s="45"/>
      <c r="F117" s="49" t="s">
        <v>48</v>
      </c>
      <c r="G117" s="48">
        <v>6250</v>
      </c>
      <c r="H117" s="83"/>
      <c r="I117" s="83"/>
      <c r="J117" s="75"/>
      <c r="K117" s="35"/>
      <c r="L117" s="35"/>
      <c r="M117" s="93">
        <f t="shared" si="67"/>
        <v>0</v>
      </c>
      <c r="N117" s="35">
        <f t="shared" si="43"/>
        <v>0</v>
      </c>
      <c r="O117" s="70" t="e">
        <f t="shared" si="64"/>
        <v>#DIV/0!</v>
      </c>
      <c r="P117" s="71">
        <f t="shared" si="65"/>
        <v>0</v>
      </c>
      <c r="Q117" s="35">
        <f t="shared" si="41"/>
        <v>0</v>
      </c>
      <c r="R117" s="72">
        <v>1103669</v>
      </c>
      <c r="S117" s="72">
        <f t="shared" si="66"/>
        <v>6250</v>
      </c>
      <c r="T117" s="62"/>
    </row>
    <row r="118" spans="1:20" s="73" customFormat="1">
      <c r="A118" s="8"/>
      <c r="B118" s="8"/>
      <c r="C118" s="8"/>
      <c r="D118" s="45"/>
      <c r="E118" s="45"/>
      <c r="F118" s="49" t="s">
        <v>12</v>
      </c>
      <c r="G118" s="48"/>
      <c r="H118" s="83"/>
      <c r="I118" s="83"/>
      <c r="J118" s="75"/>
      <c r="K118" s="35"/>
      <c r="L118" s="35"/>
      <c r="M118" s="93">
        <f t="shared" si="67"/>
        <v>0</v>
      </c>
      <c r="N118" s="35">
        <f t="shared" si="43"/>
        <v>0</v>
      </c>
      <c r="O118" s="70" t="e">
        <f t="shared" si="64"/>
        <v>#DIV/0!</v>
      </c>
      <c r="P118" s="71">
        <f t="shared" si="65"/>
        <v>0</v>
      </c>
      <c r="Q118" s="35">
        <f t="shared" si="41"/>
        <v>0</v>
      </c>
      <c r="R118" s="72">
        <v>1103670</v>
      </c>
      <c r="S118" s="72">
        <f t="shared" si="66"/>
        <v>0</v>
      </c>
      <c r="T118" s="62"/>
    </row>
    <row r="119" spans="1:20" s="73" customFormat="1">
      <c r="A119" s="8"/>
      <c r="B119" s="8"/>
      <c r="C119" s="8"/>
      <c r="D119" s="45"/>
      <c r="E119" s="45"/>
      <c r="F119" s="49" t="s">
        <v>11</v>
      </c>
      <c r="G119" s="48"/>
      <c r="H119" s="83"/>
      <c r="I119" s="83"/>
      <c r="J119" s="75"/>
      <c r="K119" s="35"/>
      <c r="L119" s="35"/>
      <c r="M119" s="93">
        <f t="shared" si="67"/>
        <v>0</v>
      </c>
      <c r="N119" s="35">
        <f t="shared" si="43"/>
        <v>0</v>
      </c>
      <c r="O119" s="70" t="e">
        <f t="shared" si="64"/>
        <v>#DIV/0!</v>
      </c>
      <c r="P119" s="71">
        <f t="shared" si="65"/>
        <v>0</v>
      </c>
      <c r="Q119" s="35">
        <f t="shared" si="41"/>
        <v>0</v>
      </c>
      <c r="R119" s="72">
        <v>1103671</v>
      </c>
      <c r="S119" s="72">
        <f t="shared" si="66"/>
        <v>0</v>
      </c>
      <c r="T119" s="62"/>
    </row>
    <row r="120" spans="1:20" s="73" customFormat="1">
      <c r="A120" s="8"/>
      <c r="B120" s="8"/>
      <c r="C120" s="8"/>
      <c r="D120" s="45"/>
      <c r="E120" s="45"/>
      <c r="F120" s="51" t="s">
        <v>69</v>
      </c>
      <c r="G120" s="48">
        <f>SUM(G121:G128)</f>
        <v>7704</v>
      </c>
      <c r="H120" s="48">
        <f t="shared" ref="H120:M120" si="68">SUM(H121:H128)</f>
        <v>0</v>
      </c>
      <c r="I120" s="48">
        <f t="shared" si="68"/>
        <v>0</v>
      </c>
      <c r="J120" s="48">
        <f t="shared" si="68"/>
        <v>0</v>
      </c>
      <c r="K120" s="48">
        <f t="shared" si="68"/>
        <v>0</v>
      </c>
      <c r="L120" s="48">
        <f t="shared" si="68"/>
        <v>0</v>
      </c>
      <c r="M120" s="48">
        <f t="shared" si="68"/>
        <v>0</v>
      </c>
      <c r="N120" s="35">
        <f t="shared" si="43"/>
        <v>0</v>
      </c>
      <c r="O120" s="70" t="e">
        <f t="shared" si="64"/>
        <v>#DIV/0!</v>
      </c>
      <c r="P120" s="71">
        <f t="shared" si="65"/>
        <v>0</v>
      </c>
      <c r="Q120" s="35">
        <f t="shared" si="41"/>
        <v>0</v>
      </c>
      <c r="R120" s="72">
        <v>1103672</v>
      </c>
      <c r="S120" s="72">
        <f t="shared" si="66"/>
        <v>7704</v>
      </c>
      <c r="T120" s="62"/>
    </row>
    <row r="121" spans="1:20" s="73" customFormat="1">
      <c r="A121" s="8"/>
      <c r="B121" s="8"/>
      <c r="C121" s="8"/>
      <c r="D121" s="45"/>
      <c r="E121" s="45"/>
      <c r="F121" s="47" t="s">
        <v>46</v>
      </c>
      <c r="G121" s="48"/>
      <c r="H121" s="83"/>
      <c r="I121" s="83"/>
      <c r="J121" s="75"/>
      <c r="K121" s="35"/>
      <c r="L121" s="35"/>
      <c r="M121" s="93">
        <f t="shared" si="67"/>
        <v>0</v>
      </c>
      <c r="N121" s="35">
        <f t="shared" si="43"/>
        <v>0</v>
      </c>
      <c r="O121" s="70" t="e">
        <f t="shared" si="64"/>
        <v>#DIV/0!</v>
      </c>
      <c r="P121" s="71">
        <f t="shared" si="65"/>
        <v>0</v>
      </c>
      <c r="Q121" s="35">
        <f t="shared" si="41"/>
        <v>0</v>
      </c>
      <c r="R121" s="72">
        <v>1103673</v>
      </c>
      <c r="S121" s="72">
        <f t="shared" si="66"/>
        <v>0</v>
      </c>
      <c r="T121" s="62"/>
    </row>
    <row r="122" spans="1:20" s="73" customFormat="1">
      <c r="A122" s="8"/>
      <c r="B122" s="8"/>
      <c r="C122" s="8"/>
      <c r="D122" s="45"/>
      <c r="E122" s="45"/>
      <c r="F122" s="47" t="s">
        <v>8</v>
      </c>
      <c r="G122" s="48"/>
      <c r="H122" s="83"/>
      <c r="I122" s="83"/>
      <c r="J122" s="75"/>
      <c r="K122" s="35"/>
      <c r="L122" s="35"/>
      <c r="M122" s="93">
        <f t="shared" si="67"/>
        <v>0</v>
      </c>
      <c r="N122" s="35">
        <f t="shared" si="43"/>
        <v>0</v>
      </c>
      <c r="O122" s="70" t="e">
        <f t="shared" si="64"/>
        <v>#DIV/0!</v>
      </c>
      <c r="P122" s="71">
        <f t="shared" si="65"/>
        <v>0</v>
      </c>
      <c r="Q122" s="35">
        <f t="shared" si="41"/>
        <v>0</v>
      </c>
      <c r="R122" s="72">
        <v>1103674</v>
      </c>
      <c r="S122" s="72">
        <f t="shared" si="66"/>
        <v>0</v>
      </c>
      <c r="T122" s="62"/>
    </row>
    <row r="123" spans="1:20" s="73" customFormat="1">
      <c r="A123" s="8"/>
      <c r="B123" s="8"/>
      <c r="C123" s="8"/>
      <c r="D123" s="45"/>
      <c r="E123" s="45"/>
      <c r="F123" s="49" t="s">
        <v>9</v>
      </c>
      <c r="G123" s="48"/>
      <c r="H123" s="83"/>
      <c r="I123" s="83"/>
      <c r="J123" s="75"/>
      <c r="K123" s="35"/>
      <c r="L123" s="35"/>
      <c r="M123" s="93">
        <f t="shared" si="67"/>
        <v>0</v>
      </c>
      <c r="N123" s="35">
        <f t="shared" si="43"/>
        <v>0</v>
      </c>
      <c r="O123" s="70" t="e">
        <f t="shared" si="64"/>
        <v>#DIV/0!</v>
      </c>
      <c r="P123" s="71">
        <f t="shared" si="65"/>
        <v>0</v>
      </c>
      <c r="Q123" s="35">
        <f t="shared" si="41"/>
        <v>0</v>
      </c>
      <c r="R123" s="72">
        <v>1103675</v>
      </c>
      <c r="S123" s="72">
        <f t="shared" si="66"/>
        <v>0</v>
      </c>
      <c r="T123" s="62"/>
    </row>
    <row r="124" spans="1:20" s="73" customFormat="1">
      <c r="A124" s="8"/>
      <c r="B124" s="8"/>
      <c r="C124" s="8"/>
      <c r="D124" s="45"/>
      <c r="E124" s="45"/>
      <c r="F124" s="49" t="s">
        <v>10</v>
      </c>
      <c r="G124" s="48"/>
      <c r="H124" s="83"/>
      <c r="I124" s="83"/>
      <c r="J124" s="75"/>
      <c r="K124" s="35"/>
      <c r="L124" s="35"/>
      <c r="M124" s="93">
        <f t="shared" si="67"/>
        <v>0</v>
      </c>
      <c r="N124" s="35">
        <f t="shared" si="43"/>
        <v>0</v>
      </c>
      <c r="O124" s="70" t="e">
        <f t="shared" si="64"/>
        <v>#DIV/0!</v>
      </c>
      <c r="P124" s="71">
        <f t="shared" si="65"/>
        <v>0</v>
      </c>
      <c r="Q124" s="35">
        <f t="shared" si="41"/>
        <v>0</v>
      </c>
      <c r="R124" s="72">
        <v>1103676</v>
      </c>
      <c r="S124" s="72">
        <f t="shared" si="66"/>
        <v>0</v>
      </c>
      <c r="T124" s="62"/>
    </row>
    <row r="125" spans="1:20" s="73" customFormat="1">
      <c r="A125" s="8"/>
      <c r="B125" s="8"/>
      <c r="C125" s="8"/>
      <c r="D125" s="45"/>
      <c r="E125" s="45"/>
      <c r="F125" s="49" t="s">
        <v>47</v>
      </c>
      <c r="G125" s="48"/>
      <c r="H125" s="83"/>
      <c r="I125" s="83"/>
      <c r="J125" s="75"/>
      <c r="K125" s="35"/>
      <c r="L125" s="35"/>
      <c r="M125" s="93">
        <f t="shared" si="67"/>
        <v>0</v>
      </c>
      <c r="N125" s="35">
        <f t="shared" si="43"/>
        <v>0</v>
      </c>
      <c r="O125" s="70" t="e">
        <f t="shared" si="64"/>
        <v>#DIV/0!</v>
      </c>
      <c r="P125" s="71">
        <f t="shared" si="65"/>
        <v>0</v>
      </c>
      <c r="Q125" s="35">
        <f t="shared" si="41"/>
        <v>0</v>
      </c>
      <c r="R125" s="72">
        <v>1103677</v>
      </c>
      <c r="S125" s="72">
        <f t="shared" si="66"/>
        <v>0</v>
      </c>
      <c r="T125" s="62"/>
    </row>
    <row r="126" spans="1:20" s="73" customFormat="1">
      <c r="A126" s="8"/>
      <c r="B126" s="8"/>
      <c r="C126" s="8"/>
      <c r="D126" s="45"/>
      <c r="E126" s="45"/>
      <c r="F126" s="49" t="s">
        <v>48</v>
      </c>
      <c r="G126" s="48"/>
      <c r="H126" s="83"/>
      <c r="I126" s="83"/>
      <c r="J126" s="75"/>
      <c r="K126" s="35"/>
      <c r="L126" s="35"/>
      <c r="M126" s="93">
        <f t="shared" si="67"/>
        <v>0</v>
      </c>
      <c r="N126" s="35">
        <f t="shared" si="43"/>
        <v>0</v>
      </c>
      <c r="O126" s="70" t="e">
        <f t="shared" si="64"/>
        <v>#DIV/0!</v>
      </c>
      <c r="P126" s="71">
        <f t="shared" si="65"/>
        <v>0</v>
      </c>
      <c r="Q126" s="35">
        <f t="shared" si="41"/>
        <v>0</v>
      </c>
      <c r="R126" s="72">
        <v>1103678</v>
      </c>
      <c r="S126" s="72">
        <f t="shared" si="66"/>
        <v>0</v>
      </c>
      <c r="T126" s="62"/>
    </row>
    <row r="127" spans="1:20" s="73" customFormat="1">
      <c r="A127" s="8"/>
      <c r="B127" s="8"/>
      <c r="C127" s="8"/>
      <c r="D127" s="45"/>
      <c r="E127" s="45"/>
      <c r="F127" s="49" t="s">
        <v>12</v>
      </c>
      <c r="G127" s="48"/>
      <c r="H127" s="83"/>
      <c r="I127" s="83"/>
      <c r="J127" s="75"/>
      <c r="K127" s="35"/>
      <c r="L127" s="35"/>
      <c r="M127" s="93">
        <f t="shared" si="67"/>
        <v>0</v>
      </c>
      <c r="N127" s="35">
        <f t="shared" si="43"/>
        <v>0</v>
      </c>
      <c r="O127" s="70" t="e">
        <f t="shared" si="64"/>
        <v>#DIV/0!</v>
      </c>
      <c r="P127" s="71">
        <f t="shared" si="65"/>
        <v>0</v>
      </c>
      <c r="Q127" s="35">
        <f t="shared" si="41"/>
        <v>0</v>
      </c>
      <c r="R127" s="72">
        <v>1103679</v>
      </c>
      <c r="S127" s="72">
        <f t="shared" si="66"/>
        <v>0</v>
      </c>
      <c r="T127" s="62"/>
    </row>
    <row r="128" spans="1:20" s="73" customFormat="1">
      <c r="A128" s="8"/>
      <c r="B128" s="8"/>
      <c r="C128" s="8"/>
      <c r="D128" s="45"/>
      <c r="E128" s="45"/>
      <c r="F128" s="49" t="s">
        <v>11</v>
      </c>
      <c r="G128" s="48">
        <v>7704</v>
      </c>
      <c r="H128" s="83"/>
      <c r="I128" s="83"/>
      <c r="J128" s="75"/>
      <c r="K128" s="35"/>
      <c r="L128" s="35"/>
      <c r="M128" s="93">
        <f t="shared" si="67"/>
        <v>0</v>
      </c>
      <c r="N128" s="35">
        <f t="shared" si="43"/>
        <v>0</v>
      </c>
      <c r="O128" s="70" t="e">
        <f t="shared" si="64"/>
        <v>#DIV/0!</v>
      </c>
      <c r="P128" s="71">
        <f t="shared" si="65"/>
        <v>0</v>
      </c>
      <c r="Q128" s="35">
        <f t="shared" si="41"/>
        <v>0</v>
      </c>
      <c r="R128" s="72">
        <v>1103680</v>
      </c>
      <c r="S128" s="72">
        <f t="shared" si="66"/>
        <v>7704</v>
      </c>
      <c r="T128" s="62"/>
    </row>
    <row r="129" spans="1:20" s="73" customFormat="1">
      <c r="A129" s="8"/>
      <c r="B129" s="8"/>
      <c r="C129" s="8"/>
      <c r="D129" s="45"/>
      <c r="E129" s="45"/>
      <c r="F129" s="51" t="s">
        <v>70</v>
      </c>
      <c r="G129" s="48">
        <f>SUM(G130:G137)</f>
        <v>13667</v>
      </c>
      <c r="H129" s="48">
        <f t="shared" ref="H129:M129" si="69">SUM(H130:H137)</f>
        <v>0</v>
      </c>
      <c r="I129" s="48">
        <f t="shared" si="69"/>
        <v>0</v>
      </c>
      <c r="J129" s="48">
        <f t="shared" si="69"/>
        <v>0</v>
      </c>
      <c r="K129" s="48">
        <f t="shared" si="69"/>
        <v>0</v>
      </c>
      <c r="L129" s="48">
        <f t="shared" si="69"/>
        <v>0</v>
      </c>
      <c r="M129" s="48">
        <f t="shared" si="69"/>
        <v>0</v>
      </c>
      <c r="N129" s="35">
        <f t="shared" si="43"/>
        <v>0</v>
      </c>
      <c r="O129" s="70" t="e">
        <f t="shared" si="64"/>
        <v>#DIV/0!</v>
      </c>
      <c r="P129" s="71">
        <f t="shared" si="65"/>
        <v>0</v>
      </c>
      <c r="Q129" s="35">
        <f t="shared" si="41"/>
        <v>0</v>
      </c>
      <c r="R129" s="72">
        <v>1103681</v>
      </c>
      <c r="S129" s="72">
        <f t="shared" si="66"/>
        <v>13667</v>
      </c>
      <c r="T129" s="62"/>
    </row>
    <row r="130" spans="1:20" s="73" customFormat="1">
      <c r="A130" s="8"/>
      <c r="B130" s="8"/>
      <c r="C130" s="8"/>
      <c r="D130" s="45"/>
      <c r="E130" s="45"/>
      <c r="F130" s="47" t="s">
        <v>46</v>
      </c>
      <c r="G130" s="48"/>
      <c r="H130" s="83"/>
      <c r="I130" s="83"/>
      <c r="J130" s="75"/>
      <c r="K130" s="35"/>
      <c r="L130" s="35"/>
      <c r="M130" s="93">
        <f t="shared" si="67"/>
        <v>0</v>
      </c>
      <c r="N130" s="35">
        <f t="shared" si="43"/>
        <v>0</v>
      </c>
      <c r="O130" s="70" t="e">
        <f t="shared" si="64"/>
        <v>#DIV/0!</v>
      </c>
      <c r="P130" s="71">
        <f t="shared" si="65"/>
        <v>0</v>
      </c>
      <c r="Q130" s="35">
        <f t="shared" si="41"/>
        <v>0</v>
      </c>
      <c r="R130" s="72">
        <v>1103682</v>
      </c>
      <c r="S130" s="72">
        <f t="shared" si="66"/>
        <v>0</v>
      </c>
      <c r="T130" s="62"/>
    </row>
    <row r="131" spans="1:20" s="73" customFormat="1">
      <c r="A131" s="8"/>
      <c r="B131" s="8"/>
      <c r="C131" s="8"/>
      <c r="D131" s="45"/>
      <c r="E131" s="45"/>
      <c r="F131" s="47" t="s">
        <v>8</v>
      </c>
      <c r="G131" s="48"/>
      <c r="H131" s="83"/>
      <c r="I131" s="83"/>
      <c r="J131" s="75"/>
      <c r="K131" s="35"/>
      <c r="L131" s="35"/>
      <c r="M131" s="93">
        <f t="shared" si="67"/>
        <v>0</v>
      </c>
      <c r="N131" s="35">
        <f t="shared" si="43"/>
        <v>0</v>
      </c>
      <c r="O131" s="70" t="e">
        <f t="shared" si="64"/>
        <v>#DIV/0!</v>
      </c>
      <c r="P131" s="71">
        <f t="shared" si="65"/>
        <v>0</v>
      </c>
      <c r="Q131" s="35">
        <f t="shared" si="41"/>
        <v>0</v>
      </c>
      <c r="R131" s="72">
        <v>1103683</v>
      </c>
      <c r="S131" s="72">
        <f t="shared" si="66"/>
        <v>0</v>
      </c>
      <c r="T131" s="62"/>
    </row>
    <row r="132" spans="1:20" s="73" customFormat="1">
      <c r="A132" s="8"/>
      <c r="B132" s="8"/>
      <c r="C132" s="8"/>
      <c r="D132" s="45"/>
      <c r="E132" s="45"/>
      <c r="F132" s="49" t="s">
        <v>9</v>
      </c>
      <c r="G132" s="48"/>
      <c r="H132" s="83"/>
      <c r="I132" s="83"/>
      <c r="J132" s="75"/>
      <c r="K132" s="35"/>
      <c r="L132" s="35"/>
      <c r="M132" s="93">
        <f t="shared" si="67"/>
        <v>0</v>
      </c>
      <c r="N132" s="35">
        <f t="shared" si="43"/>
        <v>0</v>
      </c>
      <c r="O132" s="70" t="e">
        <f t="shared" si="64"/>
        <v>#DIV/0!</v>
      </c>
      <c r="P132" s="71">
        <f t="shared" si="65"/>
        <v>0</v>
      </c>
      <c r="Q132" s="35">
        <f t="shared" si="41"/>
        <v>0</v>
      </c>
      <c r="R132" s="72">
        <v>1103684</v>
      </c>
      <c r="S132" s="72">
        <f t="shared" si="66"/>
        <v>0</v>
      </c>
      <c r="T132" s="62"/>
    </row>
    <row r="133" spans="1:20" s="73" customFormat="1">
      <c r="A133" s="8"/>
      <c r="B133" s="8"/>
      <c r="C133" s="8"/>
      <c r="D133" s="45"/>
      <c r="E133" s="45"/>
      <c r="F133" s="49" t="s">
        <v>10</v>
      </c>
      <c r="G133" s="48"/>
      <c r="H133" s="83"/>
      <c r="I133" s="83"/>
      <c r="J133" s="75"/>
      <c r="K133" s="35"/>
      <c r="L133" s="35"/>
      <c r="M133" s="93">
        <f t="shared" si="67"/>
        <v>0</v>
      </c>
      <c r="N133" s="35">
        <f t="shared" si="43"/>
        <v>0</v>
      </c>
      <c r="O133" s="70" t="e">
        <f t="shared" si="64"/>
        <v>#DIV/0!</v>
      </c>
      <c r="P133" s="71">
        <f t="shared" si="65"/>
        <v>0</v>
      </c>
      <c r="Q133" s="35">
        <f t="shared" si="41"/>
        <v>0</v>
      </c>
      <c r="R133" s="72">
        <v>1103685</v>
      </c>
      <c r="S133" s="72">
        <f t="shared" si="66"/>
        <v>0</v>
      </c>
      <c r="T133" s="62"/>
    </row>
    <row r="134" spans="1:20" s="73" customFormat="1">
      <c r="A134" s="8"/>
      <c r="B134" s="8"/>
      <c r="C134" s="8"/>
      <c r="D134" s="45"/>
      <c r="E134" s="45"/>
      <c r="F134" s="49" t="s">
        <v>47</v>
      </c>
      <c r="G134" s="48"/>
      <c r="H134" s="83"/>
      <c r="I134" s="83"/>
      <c r="J134" s="75"/>
      <c r="K134" s="35"/>
      <c r="L134" s="35"/>
      <c r="M134" s="93">
        <f t="shared" si="67"/>
        <v>0</v>
      </c>
      <c r="N134" s="35">
        <f t="shared" si="43"/>
        <v>0</v>
      </c>
      <c r="O134" s="70" t="e">
        <f t="shared" si="64"/>
        <v>#DIV/0!</v>
      </c>
      <c r="P134" s="71">
        <f t="shared" si="65"/>
        <v>0</v>
      </c>
      <c r="Q134" s="35">
        <f t="shared" ref="Q134:Q197" si="70">H134-J134</f>
        <v>0</v>
      </c>
      <c r="R134" s="72">
        <v>1103686</v>
      </c>
      <c r="S134" s="72">
        <f t="shared" si="66"/>
        <v>0</v>
      </c>
      <c r="T134" s="62"/>
    </row>
    <row r="135" spans="1:20" s="73" customFormat="1">
      <c r="A135" s="8"/>
      <c r="B135" s="8"/>
      <c r="C135" s="8"/>
      <c r="D135" s="45"/>
      <c r="E135" s="45"/>
      <c r="F135" s="49" t="s">
        <v>48</v>
      </c>
      <c r="G135" s="48"/>
      <c r="H135" s="83"/>
      <c r="I135" s="83"/>
      <c r="J135" s="75"/>
      <c r="K135" s="35"/>
      <c r="L135" s="35"/>
      <c r="M135" s="93">
        <f t="shared" si="67"/>
        <v>0</v>
      </c>
      <c r="N135" s="35">
        <f t="shared" si="43"/>
        <v>0</v>
      </c>
      <c r="O135" s="70" t="e">
        <f t="shared" si="64"/>
        <v>#DIV/0!</v>
      </c>
      <c r="P135" s="71">
        <f t="shared" si="65"/>
        <v>0</v>
      </c>
      <c r="Q135" s="35">
        <f t="shared" si="70"/>
        <v>0</v>
      </c>
      <c r="R135" s="72">
        <v>1103687</v>
      </c>
      <c r="S135" s="72">
        <f t="shared" si="66"/>
        <v>0</v>
      </c>
      <c r="T135" s="62"/>
    </row>
    <row r="136" spans="1:20" s="73" customFormat="1">
      <c r="A136" s="8"/>
      <c r="B136" s="8"/>
      <c r="C136" s="8"/>
      <c r="D136" s="45"/>
      <c r="E136" s="45"/>
      <c r="F136" s="49" t="s">
        <v>12</v>
      </c>
      <c r="G136" s="48"/>
      <c r="H136" s="83"/>
      <c r="I136" s="83"/>
      <c r="J136" s="75"/>
      <c r="K136" s="35"/>
      <c r="L136" s="35"/>
      <c r="M136" s="93">
        <f t="shared" si="67"/>
        <v>0</v>
      </c>
      <c r="N136" s="35">
        <f t="shared" si="43"/>
        <v>0</v>
      </c>
      <c r="O136" s="70" t="e">
        <f t="shared" si="64"/>
        <v>#DIV/0!</v>
      </c>
      <c r="P136" s="71">
        <f t="shared" si="65"/>
        <v>0</v>
      </c>
      <c r="Q136" s="35">
        <f t="shared" si="70"/>
        <v>0</v>
      </c>
      <c r="R136" s="72">
        <v>1103688</v>
      </c>
      <c r="S136" s="72">
        <f t="shared" si="66"/>
        <v>0</v>
      </c>
      <c r="T136" s="62"/>
    </row>
    <row r="137" spans="1:20" s="73" customFormat="1">
      <c r="A137" s="8"/>
      <c r="B137" s="8"/>
      <c r="C137" s="8"/>
      <c r="D137" s="45"/>
      <c r="E137" s="45"/>
      <c r="F137" s="49" t="s">
        <v>11</v>
      </c>
      <c r="G137" s="48">
        <v>13667</v>
      </c>
      <c r="H137" s="83"/>
      <c r="I137" s="83"/>
      <c r="J137" s="75"/>
      <c r="K137" s="35"/>
      <c r="L137" s="35"/>
      <c r="M137" s="93">
        <f t="shared" si="67"/>
        <v>0</v>
      </c>
      <c r="N137" s="35">
        <f t="shared" si="43"/>
        <v>0</v>
      </c>
      <c r="O137" s="70" t="e">
        <f t="shared" si="64"/>
        <v>#DIV/0!</v>
      </c>
      <c r="P137" s="71">
        <f t="shared" si="65"/>
        <v>0</v>
      </c>
      <c r="Q137" s="35">
        <f t="shared" si="70"/>
        <v>0</v>
      </c>
      <c r="R137" s="72">
        <v>1103689</v>
      </c>
      <c r="S137" s="72">
        <f t="shared" si="66"/>
        <v>13667</v>
      </c>
      <c r="T137" s="62"/>
    </row>
    <row r="138" spans="1:20" s="73" customFormat="1">
      <c r="A138" s="8"/>
      <c r="B138" s="8"/>
      <c r="C138" s="8"/>
      <c r="D138" s="45"/>
      <c r="E138" s="45"/>
      <c r="F138" s="51" t="s">
        <v>71</v>
      </c>
      <c r="G138" s="48">
        <f>SUM(G139:G146)</f>
        <v>74015</v>
      </c>
      <c r="H138" s="48">
        <f t="shared" ref="H138:M138" si="71">SUM(H139:H146)</f>
        <v>0</v>
      </c>
      <c r="I138" s="48">
        <f t="shared" si="71"/>
        <v>0</v>
      </c>
      <c r="J138" s="48">
        <f t="shared" si="71"/>
        <v>0</v>
      </c>
      <c r="K138" s="48">
        <f t="shared" si="71"/>
        <v>0</v>
      </c>
      <c r="L138" s="48">
        <f t="shared" si="71"/>
        <v>0</v>
      </c>
      <c r="M138" s="48">
        <f t="shared" si="71"/>
        <v>0</v>
      </c>
      <c r="N138" s="35">
        <f t="shared" ref="N138:N201" si="72">I138-M138</f>
        <v>0</v>
      </c>
      <c r="O138" s="70" t="e">
        <f t="shared" si="64"/>
        <v>#DIV/0!</v>
      </c>
      <c r="P138" s="71">
        <f t="shared" si="65"/>
        <v>0</v>
      </c>
      <c r="Q138" s="35">
        <f t="shared" si="70"/>
        <v>0</v>
      </c>
      <c r="R138" s="72">
        <v>1103690</v>
      </c>
      <c r="S138" s="72">
        <f t="shared" si="66"/>
        <v>74015</v>
      </c>
      <c r="T138" s="62"/>
    </row>
    <row r="139" spans="1:20" s="73" customFormat="1">
      <c r="A139" s="8"/>
      <c r="B139" s="8"/>
      <c r="C139" s="8"/>
      <c r="D139" s="45"/>
      <c r="E139" s="45"/>
      <c r="F139" s="47" t="s">
        <v>46</v>
      </c>
      <c r="G139" s="48"/>
      <c r="H139" s="83"/>
      <c r="I139" s="83"/>
      <c r="J139" s="75"/>
      <c r="K139" s="35"/>
      <c r="L139" s="35"/>
      <c r="M139" s="93">
        <f t="shared" si="67"/>
        <v>0</v>
      </c>
      <c r="N139" s="35">
        <f t="shared" si="72"/>
        <v>0</v>
      </c>
      <c r="O139" s="70" t="e">
        <f t="shared" si="64"/>
        <v>#DIV/0!</v>
      </c>
      <c r="P139" s="71">
        <f t="shared" si="65"/>
        <v>0</v>
      </c>
      <c r="Q139" s="35">
        <f t="shared" si="70"/>
        <v>0</v>
      </c>
      <c r="R139" s="72">
        <v>1103691</v>
      </c>
      <c r="S139" s="72">
        <f t="shared" si="66"/>
        <v>0</v>
      </c>
      <c r="T139" s="62"/>
    </row>
    <row r="140" spans="1:20" s="73" customFormat="1">
      <c r="A140" s="8"/>
      <c r="B140" s="8"/>
      <c r="C140" s="8"/>
      <c r="D140" s="45"/>
      <c r="E140" s="45"/>
      <c r="F140" s="47" t="s">
        <v>8</v>
      </c>
      <c r="G140" s="48"/>
      <c r="H140" s="83"/>
      <c r="I140" s="83"/>
      <c r="J140" s="75"/>
      <c r="K140" s="35"/>
      <c r="L140" s="35"/>
      <c r="M140" s="93">
        <f t="shared" si="67"/>
        <v>0</v>
      </c>
      <c r="N140" s="35">
        <f t="shared" si="72"/>
        <v>0</v>
      </c>
      <c r="O140" s="70" t="e">
        <f t="shared" si="64"/>
        <v>#DIV/0!</v>
      </c>
      <c r="P140" s="71">
        <f t="shared" si="65"/>
        <v>0</v>
      </c>
      <c r="Q140" s="35">
        <f t="shared" si="70"/>
        <v>0</v>
      </c>
      <c r="R140" s="72">
        <v>1103692</v>
      </c>
      <c r="S140" s="72">
        <f t="shared" si="66"/>
        <v>0</v>
      </c>
      <c r="T140" s="62"/>
    </row>
    <row r="141" spans="1:20" s="73" customFormat="1">
      <c r="A141" s="8"/>
      <c r="B141" s="8"/>
      <c r="C141" s="8"/>
      <c r="D141" s="45"/>
      <c r="E141" s="45"/>
      <c r="F141" s="49" t="s">
        <v>9</v>
      </c>
      <c r="G141" s="48"/>
      <c r="H141" s="83"/>
      <c r="I141" s="83"/>
      <c r="J141" s="75"/>
      <c r="K141" s="35"/>
      <c r="L141" s="35"/>
      <c r="M141" s="93">
        <f t="shared" si="67"/>
        <v>0</v>
      </c>
      <c r="N141" s="35">
        <f t="shared" si="72"/>
        <v>0</v>
      </c>
      <c r="O141" s="70" t="e">
        <f t="shared" si="64"/>
        <v>#DIV/0!</v>
      </c>
      <c r="P141" s="71">
        <f t="shared" si="65"/>
        <v>0</v>
      </c>
      <c r="Q141" s="35">
        <f t="shared" si="70"/>
        <v>0</v>
      </c>
      <c r="R141" s="72">
        <v>1103693</v>
      </c>
      <c r="S141" s="72">
        <f t="shared" si="66"/>
        <v>0</v>
      </c>
      <c r="T141" s="62"/>
    </row>
    <row r="142" spans="1:20" s="73" customFormat="1">
      <c r="A142" s="8"/>
      <c r="B142" s="8"/>
      <c r="C142" s="8"/>
      <c r="D142" s="45"/>
      <c r="E142" s="45"/>
      <c r="F142" s="49" t="s">
        <v>10</v>
      </c>
      <c r="G142" s="48"/>
      <c r="H142" s="83"/>
      <c r="I142" s="83"/>
      <c r="J142" s="75"/>
      <c r="K142" s="35"/>
      <c r="L142" s="35"/>
      <c r="M142" s="93">
        <f t="shared" si="67"/>
        <v>0</v>
      </c>
      <c r="N142" s="35">
        <f t="shared" si="72"/>
        <v>0</v>
      </c>
      <c r="O142" s="70" t="e">
        <f t="shared" si="64"/>
        <v>#DIV/0!</v>
      </c>
      <c r="P142" s="71">
        <f t="shared" si="65"/>
        <v>0</v>
      </c>
      <c r="Q142" s="35">
        <f t="shared" si="70"/>
        <v>0</v>
      </c>
      <c r="R142" s="72">
        <v>1103694</v>
      </c>
      <c r="S142" s="72">
        <f t="shared" si="66"/>
        <v>0</v>
      </c>
      <c r="T142" s="62"/>
    </row>
    <row r="143" spans="1:20" s="73" customFormat="1">
      <c r="A143" s="8"/>
      <c r="B143" s="8"/>
      <c r="C143" s="8"/>
      <c r="D143" s="45"/>
      <c r="E143" s="45"/>
      <c r="F143" s="49" t="s">
        <v>47</v>
      </c>
      <c r="G143" s="48"/>
      <c r="H143" s="83"/>
      <c r="I143" s="83"/>
      <c r="J143" s="75"/>
      <c r="K143" s="35"/>
      <c r="L143" s="35"/>
      <c r="M143" s="93">
        <f t="shared" si="67"/>
        <v>0</v>
      </c>
      <c r="N143" s="35">
        <f t="shared" si="72"/>
        <v>0</v>
      </c>
      <c r="O143" s="70" t="e">
        <f t="shared" si="64"/>
        <v>#DIV/0!</v>
      </c>
      <c r="P143" s="71">
        <f t="shared" si="65"/>
        <v>0</v>
      </c>
      <c r="Q143" s="35">
        <f t="shared" si="70"/>
        <v>0</v>
      </c>
      <c r="R143" s="72">
        <v>1103695</v>
      </c>
      <c r="S143" s="72">
        <f t="shared" si="66"/>
        <v>0</v>
      </c>
      <c r="T143" s="62"/>
    </row>
    <row r="144" spans="1:20" s="73" customFormat="1">
      <c r="A144" s="8"/>
      <c r="B144" s="8"/>
      <c r="C144" s="8"/>
      <c r="D144" s="45"/>
      <c r="E144" s="45"/>
      <c r="F144" s="49" t="s">
        <v>48</v>
      </c>
      <c r="G144" s="48"/>
      <c r="H144" s="83"/>
      <c r="I144" s="83"/>
      <c r="J144" s="75"/>
      <c r="K144" s="35"/>
      <c r="L144" s="35"/>
      <c r="M144" s="93">
        <f t="shared" si="67"/>
        <v>0</v>
      </c>
      <c r="N144" s="35">
        <f t="shared" si="72"/>
        <v>0</v>
      </c>
      <c r="O144" s="70" t="e">
        <f t="shared" si="64"/>
        <v>#DIV/0!</v>
      </c>
      <c r="P144" s="71">
        <f t="shared" si="65"/>
        <v>0</v>
      </c>
      <c r="Q144" s="35">
        <f t="shared" si="70"/>
        <v>0</v>
      </c>
      <c r="R144" s="72">
        <v>1103696</v>
      </c>
      <c r="S144" s="72">
        <f t="shared" si="66"/>
        <v>0</v>
      </c>
      <c r="T144" s="62"/>
    </row>
    <row r="145" spans="1:20" s="73" customFormat="1">
      <c r="A145" s="8"/>
      <c r="B145" s="8"/>
      <c r="C145" s="8"/>
      <c r="D145" s="45"/>
      <c r="E145" s="45"/>
      <c r="F145" s="49" t="s">
        <v>12</v>
      </c>
      <c r="G145" s="48">
        <v>58975</v>
      </c>
      <c r="H145" s="83"/>
      <c r="I145" s="83"/>
      <c r="J145" s="75"/>
      <c r="K145" s="35"/>
      <c r="L145" s="35"/>
      <c r="M145" s="93">
        <f t="shared" si="67"/>
        <v>0</v>
      </c>
      <c r="N145" s="35">
        <f t="shared" si="72"/>
        <v>0</v>
      </c>
      <c r="O145" s="70" t="e">
        <f t="shared" si="64"/>
        <v>#DIV/0!</v>
      </c>
      <c r="P145" s="71">
        <f t="shared" si="65"/>
        <v>0</v>
      </c>
      <c r="Q145" s="35">
        <f t="shared" si="70"/>
        <v>0</v>
      </c>
      <c r="R145" s="72">
        <v>1103697</v>
      </c>
      <c r="S145" s="72">
        <f t="shared" si="66"/>
        <v>58975</v>
      </c>
      <c r="T145" s="62"/>
    </row>
    <row r="146" spans="1:20" s="73" customFormat="1">
      <c r="A146" s="8"/>
      <c r="B146" s="8"/>
      <c r="C146" s="8"/>
      <c r="D146" s="45"/>
      <c r="E146" s="45"/>
      <c r="F146" s="49" t="s">
        <v>11</v>
      </c>
      <c r="G146" s="48">
        <v>15040</v>
      </c>
      <c r="H146" s="83"/>
      <c r="I146" s="83"/>
      <c r="J146" s="75"/>
      <c r="K146" s="35"/>
      <c r="L146" s="35"/>
      <c r="M146" s="93">
        <f t="shared" si="67"/>
        <v>0</v>
      </c>
      <c r="N146" s="35">
        <f t="shared" si="72"/>
        <v>0</v>
      </c>
      <c r="O146" s="70" t="e">
        <f t="shared" si="64"/>
        <v>#DIV/0!</v>
      </c>
      <c r="P146" s="71">
        <f t="shared" si="65"/>
        <v>0</v>
      </c>
      <c r="Q146" s="35">
        <f t="shared" si="70"/>
        <v>0</v>
      </c>
      <c r="R146" s="72">
        <v>1103698</v>
      </c>
      <c r="S146" s="72">
        <f t="shared" si="66"/>
        <v>15040</v>
      </c>
      <c r="T146" s="62"/>
    </row>
    <row r="147" spans="1:20" s="73" customFormat="1" ht="25.5">
      <c r="A147" s="9"/>
      <c r="B147" s="9"/>
      <c r="C147" s="8" t="s">
        <v>13</v>
      </c>
      <c r="D147" s="69"/>
      <c r="E147" s="69"/>
      <c r="F147" s="120" t="s">
        <v>113</v>
      </c>
      <c r="G147" s="23">
        <f>G148</f>
        <v>200616</v>
      </c>
      <c r="H147" s="23">
        <f t="shared" ref="H147:M147" si="73">H148</f>
        <v>107835</v>
      </c>
      <c r="I147" s="23">
        <f t="shared" si="73"/>
        <v>107835</v>
      </c>
      <c r="J147" s="109">
        <f t="shared" si="73"/>
        <v>107835</v>
      </c>
      <c r="K147" s="35">
        <f>'1.02.'!M92</f>
        <v>0</v>
      </c>
      <c r="L147" s="85">
        <f t="shared" si="73"/>
        <v>0</v>
      </c>
      <c r="M147" s="102">
        <f t="shared" si="73"/>
        <v>107835</v>
      </c>
      <c r="N147" s="35">
        <f t="shared" si="72"/>
        <v>0</v>
      </c>
      <c r="O147" s="68">
        <f t="shared" si="53"/>
        <v>100</v>
      </c>
      <c r="P147" s="71">
        <f t="shared" si="45"/>
        <v>0</v>
      </c>
      <c r="Q147" s="35">
        <f t="shared" si="70"/>
        <v>0</v>
      </c>
      <c r="R147" s="72">
        <v>1103663</v>
      </c>
      <c r="S147" s="72">
        <f t="shared" si="46"/>
        <v>92781</v>
      </c>
      <c r="T147" s="62">
        <f t="shared" ref="T147:T194" si="74">G147-J147</f>
        <v>92781</v>
      </c>
    </row>
    <row r="148" spans="1:20">
      <c r="A148" s="9"/>
      <c r="B148" s="9"/>
      <c r="C148" s="9"/>
      <c r="D148" s="21" t="s">
        <v>7</v>
      </c>
      <c r="E148" s="69"/>
      <c r="F148" s="122" t="s">
        <v>85</v>
      </c>
      <c r="G148" s="56">
        <f>G149+G150</f>
        <v>200616</v>
      </c>
      <c r="H148" s="56">
        <f t="shared" ref="H148:M148" si="75">H149+H150</f>
        <v>107835</v>
      </c>
      <c r="I148" s="56">
        <f t="shared" si="75"/>
        <v>107835</v>
      </c>
      <c r="J148" s="56">
        <f t="shared" si="75"/>
        <v>107835</v>
      </c>
      <c r="K148" s="56">
        <f t="shared" si="75"/>
        <v>107835</v>
      </c>
      <c r="L148" s="56">
        <f t="shared" si="75"/>
        <v>0</v>
      </c>
      <c r="M148" s="56">
        <f t="shared" si="75"/>
        <v>107835</v>
      </c>
      <c r="N148" s="35">
        <f t="shared" si="72"/>
        <v>0</v>
      </c>
      <c r="O148" s="70">
        <f t="shared" si="53"/>
        <v>100</v>
      </c>
      <c r="P148" s="71">
        <f t="shared" si="45"/>
        <v>0</v>
      </c>
      <c r="Q148" s="35">
        <f t="shared" si="70"/>
        <v>0</v>
      </c>
      <c r="R148" s="72">
        <v>1103664</v>
      </c>
      <c r="S148" s="72">
        <f t="shared" si="46"/>
        <v>92781</v>
      </c>
      <c r="T148" s="62">
        <f t="shared" si="74"/>
        <v>92781</v>
      </c>
    </row>
    <row r="149" spans="1:20">
      <c r="A149" s="9"/>
      <c r="B149" s="9"/>
      <c r="C149" s="9"/>
      <c r="D149" s="69"/>
      <c r="E149" s="69">
        <v>159</v>
      </c>
      <c r="F149" s="122" t="s">
        <v>84</v>
      </c>
      <c r="G149" s="26">
        <v>200616</v>
      </c>
      <c r="H149" s="37">
        <v>107835</v>
      </c>
      <c r="I149" s="37">
        <v>107835</v>
      </c>
      <c r="J149" s="110">
        <v>107835</v>
      </c>
      <c r="K149" s="35">
        <f>'1.07. '!M104</f>
        <v>107835</v>
      </c>
      <c r="L149" s="80"/>
      <c r="M149" s="93">
        <f>K149+L149</f>
        <v>107835</v>
      </c>
      <c r="N149" s="35">
        <f t="shared" si="72"/>
        <v>0</v>
      </c>
      <c r="O149" s="70">
        <f t="shared" si="53"/>
        <v>100</v>
      </c>
      <c r="P149" s="71">
        <f t="shared" si="45"/>
        <v>0</v>
      </c>
      <c r="Q149" s="35">
        <f t="shared" si="70"/>
        <v>0</v>
      </c>
      <c r="R149" s="72">
        <v>1103665</v>
      </c>
      <c r="S149" s="72">
        <f t="shared" si="46"/>
        <v>92781</v>
      </c>
      <c r="T149" s="62">
        <f t="shared" si="74"/>
        <v>92781</v>
      </c>
    </row>
    <row r="150" spans="1:20" hidden="1">
      <c r="A150" s="9"/>
      <c r="B150" s="9"/>
      <c r="C150" s="9"/>
      <c r="D150" s="69"/>
      <c r="E150" s="69">
        <v>322</v>
      </c>
      <c r="F150" s="78" t="s">
        <v>154</v>
      </c>
      <c r="G150" s="26"/>
      <c r="H150" s="37"/>
      <c r="I150" s="37"/>
      <c r="J150" s="110">
        <f>M150</f>
        <v>0</v>
      </c>
      <c r="K150" s="35">
        <f>'1.07. '!M105</f>
        <v>0</v>
      </c>
      <c r="L150" s="110"/>
      <c r="M150" s="93">
        <f>K150+L150</f>
        <v>0</v>
      </c>
      <c r="N150" s="35">
        <f t="shared" si="72"/>
        <v>0</v>
      </c>
      <c r="O150" s="70" t="e">
        <f t="shared" si="53"/>
        <v>#DIV/0!</v>
      </c>
      <c r="P150" s="71">
        <f t="shared" si="45"/>
        <v>0</v>
      </c>
      <c r="Q150" s="35">
        <f t="shared" si="70"/>
        <v>0</v>
      </c>
      <c r="R150" s="72">
        <v>1103666</v>
      </c>
      <c r="S150" s="72">
        <f t="shared" si="46"/>
        <v>0</v>
      </c>
    </row>
    <row r="151" spans="1:20" ht="38.25">
      <c r="A151" s="9"/>
      <c r="B151" s="9"/>
      <c r="C151" s="17" t="s">
        <v>41</v>
      </c>
      <c r="D151" s="69"/>
      <c r="E151" s="69"/>
      <c r="F151" s="79" t="s">
        <v>128</v>
      </c>
      <c r="G151" s="74">
        <f>G152</f>
        <v>20000</v>
      </c>
      <c r="H151" s="74">
        <f t="shared" ref="H151:O152" si="76">H152</f>
        <v>13390</v>
      </c>
      <c r="I151" s="74">
        <f t="shared" si="76"/>
        <v>8440</v>
      </c>
      <c r="J151" s="96">
        <f t="shared" si="76"/>
        <v>13390</v>
      </c>
      <c r="K151" s="35">
        <f>'1.02.'!M96</f>
        <v>0</v>
      </c>
      <c r="L151" s="89">
        <f t="shared" si="76"/>
        <v>964.81012999999996</v>
      </c>
      <c r="M151" s="89">
        <f t="shared" si="76"/>
        <v>8439.9131500000003</v>
      </c>
      <c r="N151" s="35">
        <f t="shared" si="72"/>
        <v>8.6849999999685679E-2</v>
      </c>
      <c r="O151" s="74">
        <f t="shared" si="76"/>
        <v>99.998970971563978</v>
      </c>
      <c r="P151" s="71">
        <f t="shared" si="45"/>
        <v>4950.0868499999997</v>
      </c>
      <c r="Q151" s="35">
        <f t="shared" si="70"/>
        <v>0</v>
      </c>
      <c r="R151" s="72">
        <v>1103667</v>
      </c>
      <c r="S151" s="72">
        <f t="shared" si="46"/>
        <v>11560.08685</v>
      </c>
      <c r="T151" s="62">
        <f>G151-J151</f>
        <v>6610</v>
      </c>
    </row>
    <row r="152" spans="1:20" s="73" customFormat="1">
      <c r="A152" s="8"/>
      <c r="B152" s="8"/>
      <c r="C152" s="8"/>
      <c r="D152" s="17" t="s">
        <v>35</v>
      </c>
      <c r="E152" s="21"/>
      <c r="F152" s="79"/>
      <c r="G152" s="88">
        <f>G153</f>
        <v>20000</v>
      </c>
      <c r="H152" s="74">
        <f t="shared" si="76"/>
        <v>13390</v>
      </c>
      <c r="I152" s="74">
        <f t="shared" si="76"/>
        <v>8440</v>
      </c>
      <c r="J152" s="96">
        <f t="shared" si="76"/>
        <v>13390</v>
      </c>
      <c r="K152" s="35">
        <f>'1.02.'!M97</f>
        <v>0</v>
      </c>
      <c r="L152" s="89">
        <f t="shared" si="76"/>
        <v>964.81012999999996</v>
      </c>
      <c r="M152" s="89">
        <f t="shared" si="76"/>
        <v>8439.9131500000003</v>
      </c>
      <c r="N152" s="35">
        <f t="shared" si="72"/>
        <v>8.6849999999685679E-2</v>
      </c>
      <c r="O152" s="68">
        <f>M152/I152*100</f>
        <v>99.998970971563978</v>
      </c>
      <c r="P152" s="71">
        <f t="shared" si="45"/>
        <v>4950.0868499999997</v>
      </c>
      <c r="Q152" s="35">
        <f t="shared" si="70"/>
        <v>0</v>
      </c>
      <c r="R152" s="72">
        <v>1103668</v>
      </c>
      <c r="S152" s="72">
        <f t="shared" si="46"/>
        <v>11560.08685</v>
      </c>
      <c r="T152" s="62">
        <f>G152-J152</f>
        <v>6610</v>
      </c>
    </row>
    <row r="153" spans="1:20">
      <c r="A153" s="9"/>
      <c r="B153" s="9"/>
      <c r="C153" s="9"/>
      <c r="D153" s="69"/>
      <c r="E153" s="69">
        <v>159</v>
      </c>
      <c r="F153" s="78" t="s">
        <v>155</v>
      </c>
      <c r="G153" s="41">
        <v>20000</v>
      </c>
      <c r="H153" s="72">
        <v>13390</v>
      </c>
      <c r="I153" s="72">
        <v>8440</v>
      </c>
      <c r="J153" s="94">
        <v>13390</v>
      </c>
      <c r="K153" s="35">
        <f>'1.09'!M117</f>
        <v>7475.1030199999996</v>
      </c>
      <c r="L153" s="90">
        <v>964.81012999999996</v>
      </c>
      <c r="M153" s="90">
        <f>K153+L153</f>
        <v>8439.9131500000003</v>
      </c>
      <c r="N153" s="35">
        <f t="shared" si="72"/>
        <v>8.6849999999685679E-2</v>
      </c>
      <c r="O153" s="70">
        <f>M153/I153*100</f>
        <v>99.998970971563978</v>
      </c>
      <c r="P153" s="71">
        <f t="shared" si="45"/>
        <v>4950.0868499999997</v>
      </c>
      <c r="Q153" s="35">
        <f t="shared" si="70"/>
        <v>0</v>
      </c>
      <c r="R153" s="72">
        <v>1103669</v>
      </c>
      <c r="S153" s="72">
        <f t="shared" si="46"/>
        <v>11560.08685</v>
      </c>
      <c r="T153" s="62">
        <f>G153-J153</f>
        <v>6610</v>
      </c>
    </row>
    <row r="154" spans="1:20" s="73" customFormat="1">
      <c r="A154" s="8"/>
      <c r="B154" s="8" t="s">
        <v>24</v>
      </c>
      <c r="C154" s="8"/>
      <c r="D154" s="21"/>
      <c r="E154" s="21"/>
      <c r="F154" s="139" t="s">
        <v>114</v>
      </c>
      <c r="G154" s="59">
        <f t="shared" ref="G154:M155" si="77">G155</f>
        <v>656346</v>
      </c>
      <c r="H154" s="59">
        <f t="shared" si="77"/>
        <v>450000</v>
      </c>
      <c r="I154" s="59">
        <f t="shared" si="77"/>
        <v>423390</v>
      </c>
      <c r="J154" s="29">
        <f t="shared" si="77"/>
        <v>437872.31073000008</v>
      </c>
      <c r="K154" s="29">
        <f>'1.02.'!M99</f>
        <v>46251.970999999998</v>
      </c>
      <c r="L154" s="29">
        <f t="shared" si="77"/>
        <v>48980.423469999994</v>
      </c>
      <c r="M154" s="29">
        <f t="shared" si="77"/>
        <v>422735.89983000007</v>
      </c>
      <c r="N154" s="35">
        <f t="shared" si="72"/>
        <v>654.1001699999324</v>
      </c>
      <c r="O154" s="68">
        <f t="shared" si="53"/>
        <v>99.845508828739469</v>
      </c>
      <c r="P154" s="71">
        <f t="shared" si="45"/>
        <v>15136.410900000017</v>
      </c>
      <c r="Q154" s="35">
        <f t="shared" si="70"/>
        <v>12127.689269999915</v>
      </c>
      <c r="R154" s="72">
        <v>1103670</v>
      </c>
      <c r="S154" s="72">
        <f t="shared" si="46"/>
        <v>233610.10016999993</v>
      </c>
      <c r="T154" s="62">
        <f t="shared" si="74"/>
        <v>218473.68926999992</v>
      </c>
    </row>
    <row r="155" spans="1:20" ht="63.75">
      <c r="A155" s="8"/>
      <c r="B155" s="8"/>
      <c r="C155" s="17" t="s">
        <v>7</v>
      </c>
      <c r="D155" s="17"/>
      <c r="E155" s="21"/>
      <c r="F155" s="139" t="s">
        <v>115</v>
      </c>
      <c r="G155" s="59">
        <f>G156</f>
        <v>656346</v>
      </c>
      <c r="H155" s="59">
        <f t="shared" si="77"/>
        <v>450000</v>
      </c>
      <c r="I155" s="59">
        <f t="shared" si="77"/>
        <v>423390</v>
      </c>
      <c r="J155" s="29">
        <f t="shared" si="77"/>
        <v>437872.31073000008</v>
      </c>
      <c r="K155" s="29">
        <f>'1.02.'!M100</f>
        <v>46251.970999999998</v>
      </c>
      <c r="L155" s="29">
        <f t="shared" si="77"/>
        <v>48980.423469999994</v>
      </c>
      <c r="M155" s="29">
        <f t="shared" si="77"/>
        <v>422735.89983000007</v>
      </c>
      <c r="N155" s="35">
        <f t="shared" si="72"/>
        <v>654.1001699999324</v>
      </c>
      <c r="O155" s="68">
        <f t="shared" si="53"/>
        <v>99.845508828739469</v>
      </c>
      <c r="P155" s="29">
        <f t="shared" si="45"/>
        <v>15136.410900000017</v>
      </c>
      <c r="Q155" s="35">
        <f t="shared" si="70"/>
        <v>12127.689269999915</v>
      </c>
      <c r="R155" s="74">
        <v>1103671</v>
      </c>
      <c r="S155" s="74">
        <f t="shared" si="46"/>
        <v>233610.10016999993</v>
      </c>
      <c r="T155" s="62">
        <f t="shared" si="74"/>
        <v>218473.68926999992</v>
      </c>
    </row>
    <row r="156" spans="1:20">
      <c r="A156" s="8"/>
      <c r="B156" s="8"/>
      <c r="C156" s="17"/>
      <c r="D156" s="17" t="s">
        <v>7</v>
      </c>
      <c r="E156" s="10"/>
      <c r="F156" s="140" t="s">
        <v>85</v>
      </c>
      <c r="G156" s="33">
        <f>SUM(G157:G174)</f>
        <v>656346</v>
      </c>
      <c r="H156" s="33">
        <f t="shared" ref="H156:M156" si="78">SUM(H157:H174)</f>
        <v>450000</v>
      </c>
      <c r="I156" s="33">
        <f t="shared" si="78"/>
        <v>423390</v>
      </c>
      <c r="J156" s="29">
        <f t="shared" si="78"/>
        <v>437872.31073000008</v>
      </c>
      <c r="K156" s="29">
        <f t="shared" si="78"/>
        <v>373755.47635999997</v>
      </c>
      <c r="L156" s="29">
        <f t="shared" si="78"/>
        <v>48980.423469999994</v>
      </c>
      <c r="M156" s="29">
        <f t="shared" si="78"/>
        <v>422735.89983000007</v>
      </c>
      <c r="N156" s="35">
        <f t="shared" si="72"/>
        <v>654.1001699999324</v>
      </c>
      <c r="O156" s="68">
        <f t="shared" si="53"/>
        <v>99.845508828739469</v>
      </c>
      <c r="P156" s="71">
        <f t="shared" si="45"/>
        <v>15136.410900000017</v>
      </c>
      <c r="Q156" s="35">
        <f t="shared" si="70"/>
        <v>12127.689269999915</v>
      </c>
      <c r="R156" s="72">
        <v>1103672</v>
      </c>
      <c r="S156" s="72">
        <f t="shared" si="46"/>
        <v>233610.10016999993</v>
      </c>
      <c r="T156" s="62">
        <f t="shared" si="74"/>
        <v>218473.68926999992</v>
      </c>
    </row>
    <row r="157" spans="1:20">
      <c r="A157" s="8"/>
      <c r="B157" s="8"/>
      <c r="C157" s="8"/>
      <c r="D157" s="21"/>
      <c r="E157" s="69">
        <v>111</v>
      </c>
      <c r="F157" s="136" t="s">
        <v>86</v>
      </c>
      <c r="G157" s="26">
        <v>408393</v>
      </c>
      <c r="H157" s="37">
        <v>276108</v>
      </c>
      <c r="I157" s="37">
        <v>276108</v>
      </c>
      <c r="J157" s="75">
        <f>M157</f>
        <v>276108</v>
      </c>
      <c r="K157" s="35">
        <f>'1.09'!M121</f>
        <v>240834.26299999998</v>
      </c>
      <c r="L157" s="35">
        <v>35273.737000000001</v>
      </c>
      <c r="M157" s="93">
        <f t="shared" ref="M157:M239" si="79">K157+L157</f>
        <v>276108</v>
      </c>
      <c r="N157" s="35">
        <f t="shared" si="72"/>
        <v>0</v>
      </c>
      <c r="O157" s="70">
        <f t="shared" si="53"/>
        <v>100</v>
      </c>
      <c r="P157" s="71">
        <f t="shared" si="45"/>
        <v>0</v>
      </c>
      <c r="Q157" s="35">
        <f t="shared" si="70"/>
        <v>0</v>
      </c>
      <c r="R157" s="72">
        <v>1103673</v>
      </c>
      <c r="S157" s="72">
        <f t="shared" si="46"/>
        <v>132285</v>
      </c>
      <c r="T157" s="62">
        <f t="shared" si="74"/>
        <v>132285</v>
      </c>
    </row>
    <row r="158" spans="1:20" hidden="1">
      <c r="A158" s="8"/>
      <c r="B158" s="8"/>
      <c r="C158" s="8"/>
      <c r="D158" s="21"/>
      <c r="E158" s="69">
        <v>112</v>
      </c>
      <c r="F158" s="136" t="s">
        <v>87</v>
      </c>
      <c r="G158" s="26"/>
      <c r="H158" s="37"/>
      <c r="I158" s="37"/>
      <c r="J158" s="75">
        <f t="shared" ref="J158:J164" si="80">M158</f>
        <v>0</v>
      </c>
      <c r="K158" s="35">
        <f>'1.09'!M122</f>
        <v>0</v>
      </c>
      <c r="L158" s="35"/>
      <c r="M158" s="93">
        <f t="shared" si="79"/>
        <v>0</v>
      </c>
      <c r="N158" s="35">
        <f t="shared" si="72"/>
        <v>0</v>
      </c>
      <c r="O158" s="70" t="e">
        <f t="shared" si="53"/>
        <v>#DIV/0!</v>
      </c>
      <c r="P158" s="71">
        <f t="shared" si="45"/>
        <v>0</v>
      </c>
      <c r="Q158" s="35">
        <f t="shared" si="70"/>
        <v>0</v>
      </c>
      <c r="R158" s="72">
        <v>1103674</v>
      </c>
      <c r="S158" s="72">
        <f t="shared" si="46"/>
        <v>0</v>
      </c>
    </row>
    <row r="159" spans="1:20">
      <c r="A159" s="8"/>
      <c r="B159" s="8"/>
      <c r="C159" s="8"/>
      <c r="D159" s="21"/>
      <c r="E159" s="76">
        <v>113</v>
      </c>
      <c r="F159" s="136" t="s">
        <v>88</v>
      </c>
      <c r="G159" s="26">
        <v>14739</v>
      </c>
      <c r="H159" s="37">
        <v>8417</v>
      </c>
      <c r="I159" s="37">
        <v>8417</v>
      </c>
      <c r="J159" s="75">
        <f t="shared" si="80"/>
        <v>8417</v>
      </c>
      <c r="K159" s="35">
        <f>'1.09'!M123</f>
        <v>7481.1920000000009</v>
      </c>
      <c r="L159" s="35">
        <v>935.80799999999999</v>
      </c>
      <c r="M159" s="93">
        <f t="shared" si="79"/>
        <v>8417</v>
      </c>
      <c r="N159" s="35">
        <f t="shared" si="72"/>
        <v>0</v>
      </c>
      <c r="O159" s="70">
        <f t="shared" si="53"/>
        <v>100</v>
      </c>
      <c r="P159" s="71">
        <f t="shared" si="45"/>
        <v>0</v>
      </c>
      <c r="Q159" s="35">
        <f t="shared" si="70"/>
        <v>0</v>
      </c>
      <c r="R159" s="72">
        <v>1103675</v>
      </c>
      <c r="S159" s="72">
        <f t="shared" si="46"/>
        <v>6322</v>
      </c>
      <c r="T159" s="62">
        <f t="shared" si="74"/>
        <v>6322</v>
      </c>
    </row>
    <row r="160" spans="1:20">
      <c r="A160" s="8"/>
      <c r="B160" s="8"/>
      <c r="C160" s="8"/>
      <c r="D160" s="21"/>
      <c r="E160" s="69">
        <v>116</v>
      </c>
      <c r="F160" s="136" t="s">
        <v>89</v>
      </c>
      <c r="G160" s="26">
        <v>9468</v>
      </c>
      <c r="H160" s="37">
        <v>2990</v>
      </c>
      <c r="I160" s="37">
        <v>2990</v>
      </c>
      <c r="J160" s="75">
        <f t="shared" si="80"/>
        <v>2990</v>
      </c>
      <c r="K160" s="35">
        <f>'1.09'!M124</f>
        <v>2605</v>
      </c>
      <c r="L160" s="35">
        <v>385</v>
      </c>
      <c r="M160" s="93">
        <f>K160+L160</f>
        <v>2990</v>
      </c>
      <c r="N160" s="35">
        <f t="shared" si="72"/>
        <v>0</v>
      </c>
      <c r="O160" s="70">
        <f>M160/I160*100</f>
        <v>100</v>
      </c>
      <c r="P160" s="71">
        <f t="shared" si="45"/>
        <v>0</v>
      </c>
      <c r="Q160" s="35">
        <f t="shared" si="70"/>
        <v>0</v>
      </c>
      <c r="R160" s="72">
        <v>1103676</v>
      </c>
      <c r="S160" s="72">
        <f t="shared" si="46"/>
        <v>6478</v>
      </c>
    </row>
    <row r="161" spans="1:20">
      <c r="A161" s="8"/>
      <c r="B161" s="8"/>
      <c r="C161" s="8"/>
      <c r="D161" s="21"/>
      <c r="E161" s="69">
        <v>121</v>
      </c>
      <c r="F161" s="136" t="s">
        <v>90</v>
      </c>
      <c r="G161" s="26">
        <v>19586</v>
      </c>
      <c r="H161" s="37">
        <v>12600</v>
      </c>
      <c r="I161" s="37">
        <v>12600</v>
      </c>
      <c r="J161" s="75">
        <f t="shared" si="80"/>
        <v>12600</v>
      </c>
      <c r="K161" s="35">
        <f>'1.09'!M125</f>
        <v>11200</v>
      </c>
      <c r="L161" s="35">
        <v>1400</v>
      </c>
      <c r="M161" s="93">
        <f t="shared" si="79"/>
        <v>12600</v>
      </c>
      <c r="N161" s="35">
        <f t="shared" si="72"/>
        <v>0</v>
      </c>
      <c r="O161" s="70">
        <f t="shared" si="53"/>
        <v>100</v>
      </c>
      <c r="P161" s="71">
        <f t="shared" si="45"/>
        <v>0</v>
      </c>
      <c r="Q161" s="35">
        <f t="shared" si="70"/>
        <v>0</v>
      </c>
      <c r="R161" s="72">
        <v>1103677</v>
      </c>
      <c r="S161" s="72">
        <f t="shared" si="46"/>
        <v>6986</v>
      </c>
      <c r="T161" s="62">
        <f t="shared" si="74"/>
        <v>6986</v>
      </c>
    </row>
    <row r="162" spans="1:20">
      <c r="A162" s="8"/>
      <c r="B162" s="8"/>
      <c r="C162" s="8"/>
      <c r="D162" s="21"/>
      <c r="E162" s="69">
        <v>122</v>
      </c>
      <c r="F162" s="136" t="s">
        <v>91</v>
      </c>
      <c r="G162" s="26">
        <v>17015</v>
      </c>
      <c r="H162" s="37">
        <v>10980</v>
      </c>
      <c r="I162" s="37">
        <v>10980</v>
      </c>
      <c r="J162" s="75">
        <f t="shared" si="80"/>
        <v>10929.171999999999</v>
      </c>
      <c r="K162" s="35">
        <f>'1.09'!M126</f>
        <v>8342.2889999999989</v>
      </c>
      <c r="L162" s="35">
        <v>2586.8829999999998</v>
      </c>
      <c r="M162" s="93">
        <f>K162+L162</f>
        <v>10929.171999999999</v>
      </c>
      <c r="N162" s="35">
        <f t="shared" si="72"/>
        <v>50.828000000001339</v>
      </c>
      <c r="O162" s="70">
        <f t="shared" si="53"/>
        <v>99.53708561020035</v>
      </c>
      <c r="P162" s="71">
        <f t="shared" si="45"/>
        <v>0</v>
      </c>
      <c r="Q162" s="35">
        <f t="shared" si="70"/>
        <v>50.828000000001339</v>
      </c>
      <c r="R162" s="72">
        <v>1103678</v>
      </c>
      <c r="S162" s="72">
        <f t="shared" si="46"/>
        <v>6085.8280000000013</v>
      </c>
      <c r="T162" s="62">
        <f t="shared" si="74"/>
        <v>6085.8280000000013</v>
      </c>
    </row>
    <row r="163" spans="1:20">
      <c r="A163" s="8"/>
      <c r="B163" s="8"/>
      <c r="C163" s="8"/>
      <c r="D163" s="21"/>
      <c r="E163" s="69">
        <v>123</v>
      </c>
      <c r="F163" s="136" t="s">
        <v>92</v>
      </c>
      <c r="G163" s="26">
        <v>195</v>
      </c>
      <c r="H163" s="37">
        <v>96</v>
      </c>
      <c r="I163" s="37">
        <v>96</v>
      </c>
      <c r="J163" s="75">
        <f t="shared" si="80"/>
        <v>95.31</v>
      </c>
      <c r="K163" s="35">
        <f>'1.09'!M127</f>
        <v>95.31</v>
      </c>
      <c r="L163" s="35"/>
      <c r="M163" s="93">
        <f t="shared" si="79"/>
        <v>95.31</v>
      </c>
      <c r="N163" s="35">
        <f t="shared" si="72"/>
        <v>0.68999999999999773</v>
      </c>
      <c r="O163" s="70">
        <f t="shared" si="53"/>
        <v>99.28125</v>
      </c>
      <c r="P163" s="71">
        <f t="shared" si="45"/>
        <v>0</v>
      </c>
      <c r="Q163" s="35">
        <f t="shared" si="70"/>
        <v>0.68999999999999773</v>
      </c>
      <c r="R163" s="72">
        <v>1103679</v>
      </c>
      <c r="S163" s="72">
        <f t="shared" si="46"/>
        <v>99.69</v>
      </c>
      <c r="T163" s="62">
        <f t="shared" si="74"/>
        <v>99.69</v>
      </c>
    </row>
    <row r="164" spans="1:20">
      <c r="A164" s="9"/>
      <c r="B164" s="8"/>
      <c r="C164" s="8"/>
      <c r="D164" s="21"/>
      <c r="E164" s="69">
        <v>124</v>
      </c>
      <c r="F164" s="136" t="s">
        <v>93</v>
      </c>
      <c r="G164" s="26">
        <v>11343</v>
      </c>
      <c r="H164" s="37">
        <v>6675</v>
      </c>
      <c r="I164" s="37">
        <v>6675</v>
      </c>
      <c r="J164" s="75">
        <f t="shared" si="80"/>
        <v>6675</v>
      </c>
      <c r="K164" s="35">
        <f>'1.09'!M128</f>
        <v>5132.12</v>
      </c>
      <c r="L164" s="35">
        <v>1542.88</v>
      </c>
      <c r="M164" s="93">
        <f t="shared" si="79"/>
        <v>6675</v>
      </c>
      <c r="N164" s="35">
        <f t="shared" si="72"/>
        <v>0</v>
      </c>
      <c r="O164" s="70">
        <f t="shared" si="53"/>
        <v>100</v>
      </c>
      <c r="P164" s="71">
        <f t="shared" si="45"/>
        <v>0</v>
      </c>
      <c r="Q164" s="35">
        <f t="shared" si="70"/>
        <v>0</v>
      </c>
      <c r="R164" s="72">
        <v>1103680</v>
      </c>
      <c r="S164" s="72">
        <f t="shared" si="46"/>
        <v>4668</v>
      </c>
      <c r="T164" s="62">
        <f t="shared" si="74"/>
        <v>4668</v>
      </c>
    </row>
    <row r="165" spans="1:20" s="73" customFormat="1">
      <c r="A165" s="9"/>
      <c r="B165" s="8"/>
      <c r="C165" s="8"/>
      <c r="D165" s="21"/>
      <c r="E165" s="69">
        <v>141</v>
      </c>
      <c r="F165" s="136" t="s">
        <v>116</v>
      </c>
      <c r="G165" s="26">
        <f>44952-157</f>
        <v>44795</v>
      </c>
      <c r="H165" s="37">
        <v>44795</v>
      </c>
      <c r="I165" s="37">
        <v>24194</v>
      </c>
      <c r="J165" s="75">
        <v>36764.570890000003</v>
      </c>
      <c r="K165" s="35">
        <f>'1.09'!M129</f>
        <v>20388.021239999995</v>
      </c>
      <c r="L165" s="35">
        <v>3779.5642600000001</v>
      </c>
      <c r="M165" s="93">
        <f t="shared" si="79"/>
        <v>24167.585499999994</v>
      </c>
      <c r="N165" s="35">
        <f t="shared" si="72"/>
        <v>26.414500000006228</v>
      </c>
      <c r="O165" s="70">
        <f t="shared" si="53"/>
        <v>99.890822104654021</v>
      </c>
      <c r="P165" s="71">
        <f t="shared" si="45"/>
        <v>12596.985390000009</v>
      </c>
      <c r="Q165" s="35">
        <f t="shared" si="70"/>
        <v>8030.4291099999973</v>
      </c>
      <c r="R165" s="72">
        <v>1103681</v>
      </c>
      <c r="S165" s="72">
        <f t="shared" si="46"/>
        <v>20627.414500000006</v>
      </c>
      <c r="T165" s="62">
        <f t="shared" si="74"/>
        <v>8030.4291099999973</v>
      </c>
    </row>
    <row r="166" spans="1:20">
      <c r="A166" s="9"/>
      <c r="B166" s="8"/>
      <c r="C166" s="8"/>
      <c r="D166" s="21"/>
      <c r="E166" s="69">
        <v>144</v>
      </c>
      <c r="F166" s="136" t="s">
        <v>97</v>
      </c>
      <c r="G166" s="26">
        <v>836</v>
      </c>
      <c r="H166" s="37">
        <v>836</v>
      </c>
      <c r="I166" s="37">
        <v>836</v>
      </c>
      <c r="J166" s="75">
        <v>835.96190999999999</v>
      </c>
      <c r="K166" s="35">
        <f>'1.09'!M130</f>
        <v>835.96190999999999</v>
      </c>
      <c r="L166" s="35"/>
      <c r="M166" s="93">
        <f t="shared" si="79"/>
        <v>835.96190999999999</v>
      </c>
      <c r="N166" s="35">
        <f t="shared" si="72"/>
        <v>3.8090000000011059E-2</v>
      </c>
      <c r="O166" s="70">
        <f t="shared" si="53"/>
        <v>99.995443779904306</v>
      </c>
      <c r="P166" s="71">
        <f t="shared" si="45"/>
        <v>0</v>
      </c>
      <c r="Q166" s="35">
        <f t="shared" si="70"/>
        <v>3.8090000000011059E-2</v>
      </c>
      <c r="R166" s="72">
        <v>1103682</v>
      </c>
      <c r="S166" s="72">
        <f t="shared" si="46"/>
        <v>3.8090000000011059E-2</v>
      </c>
      <c r="T166" s="62">
        <f t="shared" si="74"/>
        <v>3.8090000000011059E-2</v>
      </c>
    </row>
    <row r="167" spans="1:20">
      <c r="A167" s="9"/>
      <c r="B167" s="8"/>
      <c r="C167" s="8"/>
      <c r="D167" s="21"/>
      <c r="E167" s="69">
        <v>149</v>
      </c>
      <c r="F167" s="136" t="s">
        <v>98</v>
      </c>
      <c r="G167" s="26">
        <f>5652+157+428</f>
        <v>6237</v>
      </c>
      <c r="H167" s="37">
        <v>6237</v>
      </c>
      <c r="I167" s="37">
        <v>6237</v>
      </c>
      <c r="J167" s="75">
        <f>M167</f>
        <v>6225.5804900000003</v>
      </c>
      <c r="K167" s="35">
        <f>'1.09'!M131</f>
        <v>6225.5804900000003</v>
      </c>
      <c r="L167" s="35"/>
      <c r="M167" s="93">
        <f t="shared" si="79"/>
        <v>6225.5804900000003</v>
      </c>
      <c r="N167" s="35">
        <f t="shared" si="72"/>
        <v>11.419509999999718</v>
      </c>
      <c r="O167" s="70">
        <f t="shared" si="53"/>
        <v>99.816907006573672</v>
      </c>
      <c r="P167" s="71">
        <f t="shared" si="45"/>
        <v>0</v>
      </c>
      <c r="Q167" s="35">
        <f t="shared" si="70"/>
        <v>11.419509999999718</v>
      </c>
      <c r="R167" s="72">
        <v>1103683</v>
      </c>
      <c r="S167" s="72">
        <f t="shared" si="46"/>
        <v>11.419509999999718</v>
      </c>
      <c r="T167" s="62">
        <f t="shared" si="74"/>
        <v>11.419509999999718</v>
      </c>
    </row>
    <row r="168" spans="1:20">
      <c r="A168" s="9"/>
      <c r="B168" s="8"/>
      <c r="C168" s="8"/>
      <c r="D168" s="21"/>
      <c r="E168" s="69">
        <v>151</v>
      </c>
      <c r="F168" s="136" t="s">
        <v>99</v>
      </c>
      <c r="G168" s="26">
        <f>43006+68084</f>
        <v>111090</v>
      </c>
      <c r="H168" s="37">
        <v>68867</v>
      </c>
      <c r="I168" s="37">
        <v>68867</v>
      </c>
      <c r="J168" s="75">
        <f t="shared" ref="J168:J174" si="81">M168</f>
        <v>68862.225659999996</v>
      </c>
      <c r="K168" s="35">
        <f>'1.09'!M132</f>
        <v>66460.251029999999</v>
      </c>
      <c r="L168" s="35">
        <v>2401.9746300000002</v>
      </c>
      <c r="M168" s="93">
        <f t="shared" si="79"/>
        <v>68862.225659999996</v>
      </c>
      <c r="N168" s="35">
        <f t="shared" si="72"/>
        <v>4.7743400000035763</v>
      </c>
      <c r="O168" s="70">
        <f t="shared" si="53"/>
        <v>99.993067303643244</v>
      </c>
      <c r="P168" s="71">
        <f t="shared" si="45"/>
        <v>0</v>
      </c>
      <c r="Q168" s="35">
        <f t="shared" si="70"/>
        <v>4.7743400000035763</v>
      </c>
      <c r="R168" s="72">
        <v>1103684</v>
      </c>
      <c r="S168" s="72">
        <f t="shared" si="46"/>
        <v>42227.774340000004</v>
      </c>
      <c r="T168" s="62">
        <f t="shared" si="74"/>
        <v>42227.774340000004</v>
      </c>
    </row>
    <row r="169" spans="1:20">
      <c r="A169" s="9"/>
      <c r="B169" s="9"/>
      <c r="C169" s="9"/>
      <c r="D169" s="69"/>
      <c r="E169" s="69">
        <v>152</v>
      </c>
      <c r="F169" s="136" t="s">
        <v>100</v>
      </c>
      <c r="G169" s="26">
        <v>2907</v>
      </c>
      <c r="H169" s="37">
        <v>2907</v>
      </c>
      <c r="I169" s="37">
        <v>1256</v>
      </c>
      <c r="J169" s="75">
        <v>1667.3999799999999</v>
      </c>
      <c r="K169" s="35">
        <f>'1.09'!M133</f>
        <v>911.80989000000011</v>
      </c>
      <c r="L169" s="35">
        <v>129.15358000000001</v>
      </c>
      <c r="M169" s="93">
        <f t="shared" si="79"/>
        <v>1040.9634700000001</v>
      </c>
      <c r="N169" s="35">
        <f t="shared" si="72"/>
        <v>215.03652999999986</v>
      </c>
      <c r="O169" s="70">
        <f t="shared" si="53"/>
        <v>82.879257165605097</v>
      </c>
      <c r="P169" s="71">
        <f t="shared" si="45"/>
        <v>626.43650999999977</v>
      </c>
      <c r="Q169" s="35">
        <f t="shared" si="70"/>
        <v>1239.6000200000001</v>
      </c>
      <c r="R169" s="72">
        <v>1103685</v>
      </c>
      <c r="S169" s="72">
        <f t="shared" si="46"/>
        <v>1866.0365299999999</v>
      </c>
      <c r="T169" s="62">
        <f t="shared" si="74"/>
        <v>1239.6000200000001</v>
      </c>
    </row>
    <row r="170" spans="1:20">
      <c r="A170" s="9"/>
      <c r="B170" s="9"/>
      <c r="C170" s="9"/>
      <c r="D170" s="69"/>
      <c r="E170" s="69">
        <v>158</v>
      </c>
      <c r="F170" s="136" t="s">
        <v>101</v>
      </c>
      <c r="G170" s="26">
        <f>730+1670-428</f>
        <v>1972</v>
      </c>
      <c r="H170" s="37">
        <v>1972</v>
      </c>
      <c r="I170" s="37">
        <v>974</v>
      </c>
      <c r="J170" s="75">
        <v>1062.3078</v>
      </c>
      <c r="K170" s="35">
        <f>'1.09'!M134</f>
        <v>759.30780000000004</v>
      </c>
      <c r="L170" s="35">
        <v>61</v>
      </c>
      <c r="M170" s="93">
        <f t="shared" si="79"/>
        <v>820.30780000000004</v>
      </c>
      <c r="N170" s="35">
        <f t="shared" si="72"/>
        <v>153.69219999999996</v>
      </c>
      <c r="O170" s="70">
        <f t="shared" si="53"/>
        <v>84.220513347022603</v>
      </c>
      <c r="P170" s="71">
        <f t="shared" si="45"/>
        <v>242</v>
      </c>
      <c r="Q170" s="35">
        <f t="shared" si="70"/>
        <v>909.69219999999996</v>
      </c>
      <c r="R170" s="72">
        <v>1103686</v>
      </c>
      <c r="S170" s="72">
        <f t="shared" si="46"/>
        <v>1151.6922</v>
      </c>
      <c r="T170" s="62">
        <f t="shared" si="74"/>
        <v>909.69219999999996</v>
      </c>
    </row>
    <row r="171" spans="1:20">
      <c r="A171" s="9"/>
      <c r="B171" s="8"/>
      <c r="C171" s="8"/>
      <c r="D171" s="69"/>
      <c r="E171" s="69">
        <v>159</v>
      </c>
      <c r="F171" s="136" t="s">
        <v>84</v>
      </c>
      <c r="G171" s="26">
        <f>7990-1670</f>
        <v>6320</v>
      </c>
      <c r="H171" s="37">
        <v>6320</v>
      </c>
      <c r="I171" s="37">
        <v>2960</v>
      </c>
      <c r="J171" s="75">
        <v>4615.4120000000003</v>
      </c>
      <c r="K171" s="35">
        <f>'1.09'!M135</f>
        <v>2460</v>
      </c>
      <c r="L171" s="35">
        <v>484.423</v>
      </c>
      <c r="M171" s="93">
        <f t="shared" si="79"/>
        <v>2944.4229999999998</v>
      </c>
      <c r="N171" s="35">
        <f t="shared" si="72"/>
        <v>15.577000000000226</v>
      </c>
      <c r="O171" s="70">
        <f t="shared" si="53"/>
        <v>99.473749999999995</v>
      </c>
      <c r="P171" s="71">
        <f t="shared" si="45"/>
        <v>1670.9890000000005</v>
      </c>
      <c r="Q171" s="35">
        <f t="shared" si="70"/>
        <v>1704.5879999999997</v>
      </c>
      <c r="R171" s="72">
        <v>1103687</v>
      </c>
      <c r="S171" s="72">
        <f t="shared" si="46"/>
        <v>3375.5770000000002</v>
      </c>
      <c r="T171" s="62">
        <f t="shared" si="74"/>
        <v>1704.5879999999997</v>
      </c>
    </row>
    <row r="172" spans="1:20">
      <c r="A172" s="9"/>
      <c r="B172" s="8"/>
      <c r="C172" s="8"/>
      <c r="D172" s="69"/>
      <c r="E172" s="76">
        <v>161</v>
      </c>
      <c r="F172" s="136" t="s">
        <v>102</v>
      </c>
      <c r="G172" s="26">
        <v>1250</v>
      </c>
      <c r="H172" s="37"/>
      <c r="I172" s="37"/>
      <c r="J172" s="75">
        <f t="shared" si="81"/>
        <v>0</v>
      </c>
      <c r="K172" s="35">
        <f>'1.09'!M136</f>
        <v>0</v>
      </c>
      <c r="L172" s="35"/>
      <c r="M172" s="93">
        <f t="shared" si="79"/>
        <v>0</v>
      </c>
      <c r="N172" s="35">
        <f t="shared" si="72"/>
        <v>0</v>
      </c>
      <c r="O172" s="70" t="e">
        <f t="shared" si="53"/>
        <v>#DIV/0!</v>
      </c>
      <c r="P172" s="71">
        <f t="shared" si="45"/>
        <v>0</v>
      </c>
      <c r="Q172" s="35">
        <f t="shared" si="70"/>
        <v>0</v>
      </c>
      <c r="R172" s="72">
        <v>1103688</v>
      </c>
      <c r="S172" s="72">
        <f t="shared" si="46"/>
        <v>1250</v>
      </c>
      <c r="T172" s="62">
        <f t="shared" si="74"/>
        <v>1250</v>
      </c>
    </row>
    <row r="173" spans="1:20">
      <c r="A173" s="9"/>
      <c r="B173" s="8"/>
      <c r="C173" s="8"/>
      <c r="D173" s="69"/>
      <c r="E173" s="76">
        <v>168</v>
      </c>
      <c r="F173" s="136" t="s">
        <v>167</v>
      </c>
      <c r="G173" s="26">
        <v>50</v>
      </c>
      <c r="H173" s="37">
        <v>50</v>
      </c>
      <c r="I173" s="37">
        <v>50</v>
      </c>
      <c r="J173" s="75">
        <f>M173</f>
        <v>24.369999999999997</v>
      </c>
      <c r="K173" s="35">
        <f>'1.09'!M137</f>
        <v>24.369999999999997</v>
      </c>
      <c r="L173" s="35"/>
      <c r="M173" s="93">
        <f t="shared" si="79"/>
        <v>24.369999999999997</v>
      </c>
      <c r="N173" s="35">
        <f t="shared" si="72"/>
        <v>25.630000000000003</v>
      </c>
      <c r="O173" s="70">
        <f t="shared" si="53"/>
        <v>48.739999999999995</v>
      </c>
      <c r="P173" s="71">
        <f t="shared" si="45"/>
        <v>0</v>
      </c>
      <c r="Q173" s="35">
        <f t="shared" si="70"/>
        <v>25.630000000000003</v>
      </c>
      <c r="R173" s="72">
        <v>1103689</v>
      </c>
      <c r="S173" s="72">
        <f t="shared" si="46"/>
        <v>25.630000000000003</v>
      </c>
    </row>
    <row r="174" spans="1:20">
      <c r="A174" s="9"/>
      <c r="B174" s="8"/>
      <c r="C174" s="8"/>
      <c r="D174" s="69"/>
      <c r="E174" s="69">
        <v>169</v>
      </c>
      <c r="F174" s="136" t="s">
        <v>103</v>
      </c>
      <c r="G174" s="26">
        <f>200-50</f>
        <v>150</v>
      </c>
      <c r="H174" s="37">
        <v>150</v>
      </c>
      <c r="I174" s="37">
        <v>150</v>
      </c>
      <c r="J174" s="75">
        <f t="shared" si="81"/>
        <v>0</v>
      </c>
      <c r="K174" s="35">
        <f>'1.09'!M138</f>
        <v>0</v>
      </c>
      <c r="L174" s="35"/>
      <c r="M174" s="93">
        <f t="shared" si="79"/>
        <v>0</v>
      </c>
      <c r="N174" s="35">
        <f t="shared" si="72"/>
        <v>150</v>
      </c>
      <c r="O174" s="70">
        <f t="shared" si="53"/>
        <v>0</v>
      </c>
      <c r="P174" s="71">
        <f t="shared" si="45"/>
        <v>0</v>
      </c>
      <c r="Q174" s="35">
        <f t="shared" si="70"/>
        <v>150</v>
      </c>
      <c r="R174" s="72">
        <v>1103689</v>
      </c>
      <c r="S174" s="72">
        <f t="shared" si="46"/>
        <v>150</v>
      </c>
      <c r="T174" s="62">
        <f t="shared" si="74"/>
        <v>150</v>
      </c>
    </row>
    <row r="175" spans="1:20" s="73" customFormat="1">
      <c r="A175" s="8"/>
      <c r="B175" s="17">
        <v>1263</v>
      </c>
      <c r="C175" s="12"/>
      <c r="D175" s="11"/>
      <c r="E175" s="18"/>
      <c r="F175" s="139" t="s">
        <v>117</v>
      </c>
      <c r="G175" s="42">
        <f t="shared" ref="G175:M175" si="82">G176+G195</f>
        <v>598292</v>
      </c>
      <c r="H175" s="42">
        <f t="shared" si="82"/>
        <v>393124</v>
      </c>
      <c r="I175" s="42">
        <f t="shared" si="82"/>
        <v>328292.50000000006</v>
      </c>
      <c r="J175" s="29">
        <f t="shared" si="82"/>
        <v>391505.24738999992</v>
      </c>
      <c r="K175" s="29">
        <f>'1.02.'!M119</f>
        <v>10083.11916</v>
      </c>
      <c r="L175" s="29">
        <f t="shared" si="82"/>
        <v>36948.661059999991</v>
      </c>
      <c r="M175" s="29">
        <f t="shared" si="82"/>
        <v>328280.53381999995</v>
      </c>
      <c r="N175" s="35">
        <f t="shared" si="72"/>
        <v>11.966180000104941</v>
      </c>
      <c r="O175" s="68">
        <f t="shared" si="53"/>
        <v>99.996355024863476</v>
      </c>
      <c r="P175" s="35">
        <f t="shared" si="45"/>
        <v>63224.713569999964</v>
      </c>
      <c r="Q175" s="35">
        <f t="shared" si="70"/>
        <v>1618.7526100000832</v>
      </c>
      <c r="R175" s="72">
        <v>1103690</v>
      </c>
      <c r="S175" s="72">
        <f>G175-M175</f>
        <v>270011.46618000005</v>
      </c>
      <c r="T175" s="62">
        <f>G175-J175</f>
        <v>206786.75261000008</v>
      </c>
    </row>
    <row r="176" spans="1:20" s="73" customFormat="1" ht="51">
      <c r="A176" s="8"/>
      <c r="B176" s="12"/>
      <c r="C176" s="12" t="s">
        <v>25</v>
      </c>
      <c r="D176" s="11"/>
      <c r="E176" s="18"/>
      <c r="F176" s="139" t="s">
        <v>118</v>
      </c>
      <c r="G176" s="42">
        <f>G177</f>
        <v>591494</v>
      </c>
      <c r="H176" s="42">
        <f t="shared" ref="H176:M176" si="83">H177</f>
        <v>392661</v>
      </c>
      <c r="I176" s="42">
        <f t="shared" si="83"/>
        <v>328292.50000000006</v>
      </c>
      <c r="J176" s="29">
        <f t="shared" si="83"/>
        <v>391042.98338999989</v>
      </c>
      <c r="K176" s="29">
        <f>'1.02.'!M120</f>
        <v>10083.11916</v>
      </c>
      <c r="L176" s="29">
        <f t="shared" si="83"/>
        <v>36948.661059999991</v>
      </c>
      <c r="M176" s="29">
        <f t="shared" si="83"/>
        <v>328280.53381999995</v>
      </c>
      <c r="N176" s="35">
        <f t="shared" si="72"/>
        <v>11.966180000104941</v>
      </c>
      <c r="O176" s="68">
        <f t="shared" si="53"/>
        <v>99.996355024863476</v>
      </c>
      <c r="P176" s="71">
        <f t="shared" si="45"/>
        <v>62762.449569999939</v>
      </c>
      <c r="Q176" s="35">
        <f t="shared" si="70"/>
        <v>1618.0166100001079</v>
      </c>
      <c r="R176" s="72">
        <v>1103691</v>
      </c>
      <c r="S176" s="72">
        <f t="shared" si="46"/>
        <v>263213.46618000005</v>
      </c>
      <c r="T176" s="62">
        <f t="shared" si="74"/>
        <v>200451.01661000011</v>
      </c>
    </row>
    <row r="177" spans="1:20" s="73" customFormat="1">
      <c r="A177" s="8"/>
      <c r="B177" s="12"/>
      <c r="C177" s="12"/>
      <c r="D177" s="11" t="s">
        <v>7</v>
      </c>
      <c r="E177" s="19"/>
      <c r="F177" s="140" t="s">
        <v>85</v>
      </c>
      <c r="G177" s="30">
        <f>SUM(G178:G194)</f>
        <v>591494</v>
      </c>
      <c r="H177" s="30">
        <f t="shared" ref="H177:M177" si="84">SUM(H178:H194)</f>
        <v>392661</v>
      </c>
      <c r="I177" s="30">
        <f t="shared" si="84"/>
        <v>328292.50000000006</v>
      </c>
      <c r="J177" s="32">
        <f>SUM(J178:J194)</f>
        <v>391042.98338999989</v>
      </c>
      <c r="K177" s="29">
        <f>'1.02.'!M121</f>
        <v>10083.11916</v>
      </c>
      <c r="L177" s="32">
        <f>SUM(L178:L194)</f>
        <v>36948.661059999991</v>
      </c>
      <c r="M177" s="32">
        <f t="shared" si="84"/>
        <v>328280.53381999995</v>
      </c>
      <c r="N177" s="35">
        <f t="shared" si="72"/>
        <v>11.966180000104941</v>
      </c>
      <c r="O177" s="68">
        <f t="shared" si="53"/>
        <v>99.996355024863476</v>
      </c>
      <c r="P177" s="71">
        <f t="shared" si="45"/>
        <v>62762.449569999939</v>
      </c>
      <c r="Q177" s="35">
        <f t="shared" si="70"/>
        <v>1618.0166100001079</v>
      </c>
      <c r="R177" s="72">
        <v>1103692</v>
      </c>
      <c r="S177" s="72">
        <f t="shared" si="46"/>
        <v>263213.46618000005</v>
      </c>
      <c r="T177" s="62">
        <f t="shared" si="74"/>
        <v>200451.01661000011</v>
      </c>
    </row>
    <row r="178" spans="1:20">
      <c r="A178" s="8"/>
      <c r="B178" s="13"/>
      <c r="C178" s="13"/>
      <c r="D178" s="14"/>
      <c r="E178" s="20">
        <v>111</v>
      </c>
      <c r="F178" s="136" t="s">
        <v>86</v>
      </c>
      <c r="G178" s="34">
        <f>288321-2200-4200</f>
        <v>281921</v>
      </c>
      <c r="H178" s="34">
        <v>162499.29999999999</v>
      </c>
      <c r="I178" s="34">
        <v>162499.29999999999</v>
      </c>
      <c r="J178" s="75">
        <f>M178</f>
        <v>162499.29999999999</v>
      </c>
      <c r="K178" s="35">
        <f>'1.09'!M142</f>
        <v>143499.29999999999</v>
      </c>
      <c r="L178" s="36">
        <v>19000</v>
      </c>
      <c r="M178" s="93">
        <f t="shared" si="79"/>
        <v>162499.29999999999</v>
      </c>
      <c r="N178" s="35">
        <f t="shared" si="72"/>
        <v>0</v>
      </c>
      <c r="O178" s="70">
        <f t="shared" si="53"/>
        <v>100</v>
      </c>
      <c r="P178" s="71">
        <f t="shared" si="45"/>
        <v>0</v>
      </c>
      <c r="Q178" s="35">
        <f t="shared" si="70"/>
        <v>0</v>
      </c>
      <c r="R178" s="72">
        <v>1103693</v>
      </c>
      <c r="S178" s="72">
        <f t="shared" si="46"/>
        <v>119421.70000000001</v>
      </c>
      <c r="T178" s="62">
        <f t="shared" si="74"/>
        <v>119421.70000000001</v>
      </c>
    </row>
    <row r="179" spans="1:20">
      <c r="A179" s="8"/>
      <c r="B179" s="13"/>
      <c r="C179" s="13"/>
      <c r="D179" s="14"/>
      <c r="E179" s="20">
        <v>112</v>
      </c>
      <c r="F179" s="136" t="s">
        <v>87</v>
      </c>
      <c r="G179" s="34">
        <f>3669.3+4200</f>
        <v>7869.3</v>
      </c>
      <c r="H179" s="34">
        <v>7869.3</v>
      </c>
      <c r="I179" s="34">
        <v>7869.3</v>
      </c>
      <c r="J179" s="75">
        <f t="shared" ref="J179:J193" si="85">M179</f>
        <v>7859.9789999999994</v>
      </c>
      <c r="K179" s="35">
        <f>'1.09'!M143</f>
        <v>7859.9789999999994</v>
      </c>
      <c r="L179" s="36"/>
      <c r="M179" s="93">
        <f t="shared" si="79"/>
        <v>7859.9789999999994</v>
      </c>
      <c r="N179" s="35">
        <f t="shared" si="72"/>
        <v>9.3210000000008222</v>
      </c>
      <c r="O179" s="70">
        <f t="shared" si="53"/>
        <v>99.88155236170941</v>
      </c>
      <c r="P179" s="71">
        <f t="shared" si="45"/>
        <v>0</v>
      </c>
      <c r="Q179" s="35">
        <f t="shared" si="70"/>
        <v>9.3210000000008222</v>
      </c>
      <c r="R179" s="72">
        <v>1103694</v>
      </c>
      <c r="S179" s="72">
        <f t="shared" si="46"/>
        <v>9.3210000000008222</v>
      </c>
    </row>
    <row r="180" spans="1:20">
      <c r="A180" s="8"/>
      <c r="B180" s="15"/>
      <c r="C180" s="15"/>
      <c r="D180" s="16"/>
      <c r="E180" s="20">
        <v>113</v>
      </c>
      <c r="F180" s="136" t="s">
        <v>88</v>
      </c>
      <c r="G180" s="34">
        <v>7446</v>
      </c>
      <c r="H180" s="34">
        <v>4613.8</v>
      </c>
      <c r="I180" s="34">
        <v>4613.8</v>
      </c>
      <c r="J180" s="75">
        <f t="shared" si="85"/>
        <v>4613.7539999999999</v>
      </c>
      <c r="K180" s="35">
        <f>'1.09'!M144</f>
        <v>4280.0209999999997</v>
      </c>
      <c r="L180" s="36">
        <v>333.733</v>
      </c>
      <c r="M180" s="93">
        <f t="shared" si="79"/>
        <v>4613.7539999999999</v>
      </c>
      <c r="N180" s="35">
        <f t="shared" si="72"/>
        <v>4.6000000000276486E-2</v>
      </c>
      <c r="O180" s="70">
        <f t="shared" si="53"/>
        <v>99.999002991026913</v>
      </c>
      <c r="P180" s="71">
        <f t="shared" si="45"/>
        <v>0</v>
      </c>
      <c r="Q180" s="35">
        <f t="shared" si="70"/>
        <v>4.6000000000276486E-2</v>
      </c>
      <c r="R180" s="72">
        <v>1103695</v>
      </c>
      <c r="S180" s="72">
        <f t="shared" si="46"/>
        <v>2832.2460000000001</v>
      </c>
      <c r="T180" s="62">
        <f t="shared" si="74"/>
        <v>2832.2460000000001</v>
      </c>
    </row>
    <row r="181" spans="1:20">
      <c r="A181" s="8"/>
      <c r="B181" s="15"/>
      <c r="C181" s="15"/>
      <c r="D181" s="16"/>
      <c r="E181" s="69">
        <v>116</v>
      </c>
      <c r="F181" s="136" t="s">
        <v>89</v>
      </c>
      <c r="G181" s="34">
        <f>9009-131.5</f>
        <v>8877.5</v>
      </c>
      <c r="H181" s="34">
        <v>2502</v>
      </c>
      <c r="I181" s="34">
        <v>2502</v>
      </c>
      <c r="J181" s="75">
        <f t="shared" si="85"/>
        <v>2501.9739999999997</v>
      </c>
      <c r="K181" s="35">
        <f>'1.09'!M145</f>
        <v>2206.1999999999998</v>
      </c>
      <c r="L181" s="36">
        <v>295.774</v>
      </c>
      <c r="M181" s="93">
        <f>K181+L181</f>
        <v>2501.9739999999997</v>
      </c>
      <c r="N181" s="35">
        <f t="shared" si="72"/>
        <v>2.6000000000294676E-2</v>
      </c>
      <c r="O181" s="70">
        <f>M181/I181*100</f>
        <v>99.998960831334912</v>
      </c>
      <c r="P181" s="71">
        <f t="shared" si="45"/>
        <v>0</v>
      </c>
      <c r="Q181" s="35">
        <f t="shared" si="70"/>
        <v>2.6000000000294676E-2</v>
      </c>
      <c r="R181" s="72">
        <v>1103696</v>
      </c>
      <c r="S181" s="72">
        <f t="shared" si="46"/>
        <v>6375.5259999999998</v>
      </c>
    </row>
    <row r="182" spans="1:20">
      <c r="A182" s="8"/>
      <c r="B182" s="15"/>
      <c r="C182" s="15"/>
      <c r="D182" s="16"/>
      <c r="E182" s="20">
        <v>121</v>
      </c>
      <c r="F182" s="136" t="s">
        <v>90</v>
      </c>
      <c r="G182" s="34">
        <f>14861-20.4</f>
        <v>14840.6</v>
      </c>
      <c r="H182" s="34">
        <v>9694.9</v>
      </c>
      <c r="I182" s="34">
        <v>9694.9</v>
      </c>
      <c r="J182" s="75">
        <f t="shared" si="85"/>
        <v>9694.9</v>
      </c>
      <c r="K182" s="35">
        <f>'1.09'!M146</f>
        <v>8426.9</v>
      </c>
      <c r="L182" s="36">
        <v>1268</v>
      </c>
      <c r="M182" s="93">
        <f t="shared" si="79"/>
        <v>9694.9</v>
      </c>
      <c r="N182" s="35">
        <f t="shared" si="72"/>
        <v>0</v>
      </c>
      <c r="O182" s="70">
        <f t="shared" si="53"/>
        <v>100</v>
      </c>
      <c r="P182" s="71">
        <f t="shared" si="45"/>
        <v>0</v>
      </c>
      <c r="Q182" s="35">
        <f t="shared" si="70"/>
        <v>0</v>
      </c>
      <c r="R182" s="72">
        <v>1103697</v>
      </c>
      <c r="S182" s="72">
        <f t="shared" si="46"/>
        <v>5145.7000000000007</v>
      </c>
      <c r="T182" s="62">
        <f t="shared" si="74"/>
        <v>5145.7000000000007</v>
      </c>
    </row>
    <row r="183" spans="1:20">
      <c r="A183" s="8"/>
      <c r="B183" s="15"/>
      <c r="C183" s="15"/>
      <c r="D183" s="16"/>
      <c r="E183" s="20">
        <v>122</v>
      </c>
      <c r="F183" s="136" t="s">
        <v>91</v>
      </c>
      <c r="G183" s="37">
        <f>12910-1105.1</f>
        <v>11804.9</v>
      </c>
      <c r="H183" s="37">
        <v>6016.1</v>
      </c>
      <c r="I183" s="37">
        <v>6016.1</v>
      </c>
      <c r="J183" s="75">
        <f t="shared" si="85"/>
        <v>6016.0770000000002</v>
      </c>
      <c r="K183" s="35">
        <f>'1.09'!M147</f>
        <v>5318.7060000000001</v>
      </c>
      <c r="L183" s="35">
        <v>697.37099999999998</v>
      </c>
      <c r="M183" s="93">
        <f t="shared" si="79"/>
        <v>6016.0770000000002</v>
      </c>
      <c r="N183" s="35">
        <f t="shared" si="72"/>
        <v>2.3000000000138243E-2</v>
      </c>
      <c r="O183" s="70">
        <f t="shared" si="53"/>
        <v>99.99961769252505</v>
      </c>
      <c r="P183" s="71">
        <f t="shared" si="45"/>
        <v>0</v>
      </c>
      <c r="Q183" s="35">
        <f t="shared" si="70"/>
        <v>2.3000000000138243E-2</v>
      </c>
      <c r="R183" s="72">
        <v>1103698</v>
      </c>
      <c r="S183" s="72">
        <f t="shared" si="46"/>
        <v>5788.8229999999994</v>
      </c>
      <c r="T183" s="62">
        <f t="shared" si="74"/>
        <v>5788.8229999999994</v>
      </c>
    </row>
    <row r="184" spans="1:20">
      <c r="A184" s="8"/>
      <c r="B184" s="15"/>
      <c r="C184" s="15"/>
      <c r="D184" s="16"/>
      <c r="E184" s="20">
        <v>123</v>
      </c>
      <c r="F184" s="136" t="s">
        <v>92</v>
      </c>
      <c r="G184" s="34">
        <v>228</v>
      </c>
      <c r="H184" s="34">
        <v>228</v>
      </c>
      <c r="I184" s="34">
        <v>228</v>
      </c>
      <c r="J184" s="75">
        <f t="shared" si="85"/>
        <v>227.55754000000002</v>
      </c>
      <c r="K184" s="35">
        <f>'1.09'!M148</f>
        <v>95.396330000000006</v>
      </c>
      <c r="L184" s="36">
        <v>132.16121000000001</v>
      </c>
      <c r="M184" s="93">
        <f t="shared" si="79"/>
        <v>227.55754000000002</v>
      </c>
      <c r="N184" s="35">
        <f t="shared" si="72"/>
        <v>0.44245999999998276</v>
      </c>
      <c r="O184" s="70">
        <f t="shared" si="53"/>
        <v>99.805938596491245</v>
      </c>
      <c r="P184" s="71">
        <f t="shared" si="45"/>
        <v>0</v>
      </c>
      <c r="Q184" s="35">
        <f t="shared" si="70"/>
        <v>0.44245999999998276</v>
      </c>
      <c r="R184" s="72">
        <v>1103699</v>
      </c>
      <c r="S184" s="72">
        <f t="shared" si="46"/>
        <v>0.44245999999998276</v>
      </c>
      <c r="T184" s="62">
        <f t="shared" si="74"/>
        <v>0.44245999999998276</v>
      </c>
    </row>
    <row r="185" spans="1:20">
      <c r="A185" s="9"/>
      <c r="B185" s="15"/>
      <c r="C185" s="15"/>
      <c r="D185" s="16"/>
      <c r="E185" s="20">
        <v>124</v>
      </c>
      <c r="F185" s="136" t="s">
        <v>93</v>
      </c>
      <c r="G185" s="37">
        <f>8607-212.3</f>
        <v>8394.7000000000007</v>
      </c>
      <c r="H185" s="37">
        <v>3810.6</v>
      </c>
      <c r="I185" s="37">
        <v>3810.6</v>
      </c>
      <c r="J185" s="75">
        <f t="shared" si="85"/>
        <v>3810.5709999999995</v>
      </c>
      <c r="K185" s="35">
        <f>'1.09'!M149</f>
        <v>3364.3939999999993</v>
      </c>
      <c r="L185" s="35">
        <v>446.17700000000002</v>
      </c>
      <c r="M185" s="93">
        <f t="shared" si="79"/>
        <v>3810.5709999999995</v>
      </c>
      <c r="N185" s="35">
        <f t="shared" si="72"/>
        <v>2.9000000000451109E-2</v>
      </c>
      <c r="O185" s="70">
        <f t="shared" si="53"/>
        <v>99.999238964992372</v>
      </c>
      <c r="P185" s="71">
        <f t="shared" si="45"/>
        <v>0</v>
      </c>
      <c r="Q185" s="35">
        <f t="shared" si="70"/>
        <v>2.9000000000451109E-2</v>
      </c>
      <c r="R185" s="72">
        <v>1103700</v>
      </c>
      <c r="S185" s="72">
        <f t="shared" si="46"/>
        <v>4584.1290000000008</v>
      </c>
      <c r="T185" s="62">
        <f t="shared" si="74"/>
        <v>4584.1290000000008</v>
      </c>
    </row>
    <row r="186" spans="1:20">
      <c r="A186" s="9"/>
      <c r="B186" s="15"/>
      <c r="C186" s="15"/>
      <c r="D186" s="16"/>
      <c r="E186" s="20">
        <v>141</v>
      </c>
      <c r="F186" s="136" t="s">
        <v>116</v>
      </c>
      <c r="G186" s="34">
        <f>138471-1027-660</f>
        <v>136784</v>
      </c>
      <c r="H186" s="34">
        <v>114871</v>
      </c>
      <c r="I186" s="34">
        <v>53700</v>
      </c>
      <c r="J186" s="75">
        <v>114809.33041</v>
      </c>
      <c r="K186" s="35">
        <f>'1.09'!M150</f>
        <v>44700</v>
      </c>
      <c r="L186" s="36">
        <v>9000</v>
      </c>
      <c r="M186" s="93">
        <f t="shared" si="79"/>
        <v>53700</v>
      </c>
      <c r="N186" s="35">
        <f t="shared" si="72"/>
        <v>0</v>
      </c>
      <c r="O186" s="70">
        <f t="shared" si="53"/>
        <v>100</v>
      </c>
      <c r="P186" s="71">
        <f t="shared" si="45"/>
        <v>61109.330409999995</v>
      </c>
      <c r="Q186" s="35">
        <f t="shared" si="70"/>
        <v>61.669590000004973</v>
      </c>
      <c r="R186" s="72">
        <v>1103701</v>
      </c>
      <c r="S186" s="72">
        <f t="shared" si="46"/>
        <v>83084</v>
      </c>
      <c r="T186" s="62">
        <f t="shared" si="74"/>
        <v>21974.669590000005</v>
      </c>
    </row>
    <row r="187" spans="1:20">
      <c r="A187" s="9"/>
      <c r="B187" s="15"/>
      <c r="C187" s="15"/>
      <c r="D187" s="16"/>
      <c r="E187" s="20">
        <v>144</v>
      </c>
      <c r="F187" s="136" t="s">
        <v>97</v>
      </c>
      <c r="G187" s="37">
        <v>1470</v>
      </c>
      <c r="H187" s="37">
        <v>1470</v>
      </c>
      <c r="I187" s="37">
        <v>1470</v>
      </c>
      <c r="J187" s="75">
        <v>1470</v>
      </c>
      <c r="K187" s="35">
        <f>'1.09'!M151</f>
        <v>1470</v>
      </c>
      <c r="L187" s="36"/>
      <c r="M187" s="93">
        <f t="shared" si="79"/>
        <v>1470</v>
      </c>
      <c r="N187" s="35">
        <f t="shared" si="72"/>
        <v>0</v>
      </c>
      <c r="O187" s="70">
        <f t="shared" si="53"/>
        <v>100</v>
      </c>
      <c r="P187" s="71">
        <f t="shared" si="45"/>
        <v>0</v>
      </c>
      <c r="Q187" s="35">
        <f t="shared" si="70"/>
        <v>0</v>
      </c>
      <c r="R187" s="72">
        <v>1103702</v>
      </c>
      <c r="S187" s="72">
        <f t="shared" si="46"/>
        <v>0</v>
      </c>
      <c r="T187" s="62">
        <f t="shared" si="74"/>
        <v>0</v>
      </c>
    </row>
    <row r="188" spans="1:20">
      <c r="A188" s="9"/>
      <c r="B188" s="15"/>
      <c r="C188" s="15"/>
      <c r="D188" s="16"/>
      <c r="E188" s="20">
        <v>149</v>
      </c>
      <c r="F188" s="136" t="s">
        <v>98</v>
      </c>
      <c r="G188" s="34">
        <v>5557</v>
      </c>
      <c r="H188" s="34">
        <v>5116.7</v>
      </c>
      <c r="I188" s="34">
        <v>5116.7</v>
      </c>
      <c r="J188" s="75">
        <f>M188</f>
        <v>5115.723570000001</v>
      </c>
      <c r="K188" s="35">
        <f>'1.09'!M152</f>
        <v>5115.6235700000007</v>
      </c>
      <c r="L188" s="35">
        <v>0.1</v>
      </c>
      <c r="M188" s="93">
        <f t="shared" si="79"/>
        <v>5115.723570000001</v>
      </c>
      <c r="N188" s="35">
        <f t="shared" si="72"/>
        <v>0.97642999999879976</v>
      </c>
      <c r="O188" s="70">
        <f t="shared" si="53"/>
        <v>99.98091680184497</v>
      </c>
      <c r="P188" s="71">
        <f t="shared" si="45"/>
        <v>0</v>
      </c>
      <c r="Q188" s="35">
        <f t="shared" si="70"/>
        <v>0.97642999999879976</v>
      </c>
      <c r="R188" s="72">
        <v>1103703</v>
      </c>
      <c r="S188" s="72">
        <f t="shared" si="46"/>
        <v>441.27642999999898</v>
      </c>
      <c r="T188" s="62">
        <f t="shared" si="74"/>
        <v>441.27642999999898</v>
      </c>
    </row>
    <row r="189" spans="1:20">
      <c r="A189" s="9"/>
      <c r="B189" s="15"/>
      <c r="C189" s="15"/>
      <c r="D189" s="16"/>
      <c r="E189" s="20">
        <v>151</v>
      </c>
      <c r="F189" s="136" t="s">
        <v>99</v>
      </c>
      <c r="G189" s="34">
        <f>60855+34853</f>
        <v>95708</v>
      </c>
      <c r="H189" s="34">
        <v>65126.1</v>
      </c>
      <c r="I189" s="34">
        <v>65126.1</v>
      </c>
      <c r="J189" s="75">
        <f>M189</f>
        <v>65125.696540000004</v>
      </c>
      <c r="K189" s="35">
        <f>'1.09'!M153</f>
        <v>59768.005590000001</v>
      </c>
      <c r="L189" s="36">
        <v>5357.6909500000002</v>
      </c>
      <c r="M189" s="93">
        <f t="shared" si="79"/>
        <v>65125.696540000004</v>
      </c>
      <c r="N189" s="35">
        <f t="shared" si="72"/>
        <v>0.40345999999408377</v>
      </c>
      <c r="O189" s="70">
        <f t="shared" si="53"/>
        <v>99.999380494149051</v>
      </c>
      <c r="P189" s="71">
        <f t="shared" si="45"/>
        <v>0</v>
      </c>
      <c r="Q189" s="35">
        <f t="shared" si="70"/>
        <v>0.40345999999408377</v>
      </c>
      <c r="R189" s="72">
        <v>1103704</v>
      </c>
      <c r="S189" s="72">
        <f t="shared" si="46"/>
        <v>30582.303459999996</v>
      </c>
      <c r="T189" s="62">
        <f t="shared" si="74"/>
        <v>30582.303459999996</v>
      </c>
    </row>
    <row r="190" spans="1:20">
      <c r="A190" s="9"/>
      <c r="B190" s="15"/>
      <c r="C190" s="15"/>
      <c r="D190" s="16"/>
      <c r="E190" s="20">
        <v>152</v>
      </c>
      <c r="F190" s="136" t="s">
        <v>100</v>
      </c>
      <c r="G190" s="34">
        <v>1940</v>
      </c>
      <c r="H190" s="34">
        <v>1940</v>
      </c>
      <c r="I190" s="34">
        <v>669.9</v>
      </c>
      <c r="J190" s="75">
        <v>879.07015999999999</v>
      </c>
      <c r="K190" s="35">
        <f>'1.09'!M154</f>
        <v>595.9</v>
      </c>
      <c r="L190" s="36">
        <v>74</v>
      </c>
      <c r="M190" s="93">
        <f t="shared" si="79"/>
        <v>669.9</v>
      </c>
      <c r="N190" s="35">
        <f t="shared" si="72"/>
        <v>0</v>
      </c>
      <c r="O190" s="70">
        <f t="shared" si="53"/>
        <v>100</v>
      </c>
      <c r="P190" s="71">
        <f t="shared" si="45"/>
        <v>209.17016000000001</v>
      </c>
      <c r="Q190" s="35">
        <f t="shared" si="70"/>
        <v>1060.92984</v>
      </c>
      <c r="R190" s="72">
        <v>1103705</v>
      </c>
      <c r="S190" s="72">
        <f t="shared" si="46"/>
        <v>1270.0999999999999</v>
      </c>
      <c r="T190" s="62">
        <f t="shared" si="74"/>
        <v>1060.92984</v>
      </c>
    </row>
    <row r="191" spans="1:20">
      <c r="A191" s="9"/>
      <c r="B191" s="15"/>
      <c r="C191" s="15"/>
      <c r="D191" s="16"/>
      <c r="E191" s="20">
        <v>158</v>
      </c>
      <c r="F191" s="136" t="s">
        <v>101</v>
      </c>
      <c r="G191" s="34">
        <f>730+900</f>
        <v>1630</v>
      </c>
      <c r="H191" s="34">
        <v>1630</v>
      </c>
      <c r="I191" s="34">
        <v>1097.4000000000001</v>
      </c>
      <c r="J191" s="75">
        <v>1360.6156000000001</v>
      </c>
      <c r="K191" s="35">
        <f>'1.09'!M155</f>
        <v>953.30780000000004</v>
      </c>
      <c r="L191" s="36">
        <v>143.65389999999999</v>
      </c>
      <c r="M191" s="93">
        <f t="shared" si="79"/>
        <v>1096.9617000000001</v>
      </c>
      <c r="N191" s="35">
        <f t="shared" si="72"/>
        <v>0.43830000000002656</v>
      </c>
      <c r="O191" s="70">
        <f t="shared" si="53"/>
        <v>99.960060142154177</v>
      </c>
      <c r="P191" s="71">
        <f t="shared" si="45"/>
        <v>263.65390000000002</v>
      </c>
      <c r="Q191" s="35">
        <f t="shared" si="70"/>
        <v>269.38439999999991</v>
      </c>
      <c r="R191" s="72">
        <v>1103706</v>
      </c>
      <c r="S191" s="72">
        <f t="shared" si="46"/>
        <v>533.03829999999994</v>
      </c>
      <c r="T191" s="62">
        <f t="shared" si="74"/>
        <v>269.38439999999991</v>
      </c>
    </row>
    <row r="192" spans="1:20">
      <c r="A192" s="9"/>
      <c r="B192" s="15"/>
      <c r="C192" s="15"/>
      <c r="D192" s="16"/>
      <c r="E192" s="20">
        <v>159</v>
      </c>
      <c r="F192" s="136" t="s">
        <v>84</v>
      </c>
      <c r="G192" s="34">
        <f>5598-900-269.2-242.7</f>
        <v>4186.1000000000004</v>
      </c>
      <c r="H192" s="34">
        <v>3513.8</v>
      </c>
      <c r="I192" s="34">
        <v>2119</v>
      </c>
      <c r="J192" s="75">
        <v>3299.2950999999998</v>
      </c>
      <c r="K192" s="35">
        <f>'1.09'!M156</f>
        <v>1919</v>
      </c>
      <c r="L192" s="36">
        <v>200</v>
      </c>
      <c r="M192" s="93">
        <f t="shared" si="79"/>
        <v>2119</v>
      </c>
      <c r="N192" s="35">
        <f t="shared" si="72"/>
        <v>0</v>
      </c>
      <c r="O192" s="70">
        <f t="shared" si="53"/>
        <v>100</v>
      </c>
      <c r="P192" s="71">
        <f t="shared" si="45"/>
        <v>1180.2950999999998</v>
      </c>
      <c r="Q192" s="35">
        <f t="shared" si="70"/>
        <v>214.50490000000036</v>
      </c>
      <c r="R192" s="72">
        <v>1103707</v>
      </c>
      <c r="S192" s="72">
        <f t="shared" si="46"/>
        <v>2067.1000000000004</v>
      </c>
      <c r="T192" s="62">
        <f t="shared" si="74"/>
        <v>886.80490000000054</v>
      </c>
    </row>
    <row r="193" spans="1:20">
      <c r="A193" s="9"/>
      <c r="B193" s="15"/>
      <c r="C193" s="15"/>
      <c r="D193" s="16"/>
      <c r="E193" s="20">
        <v>161</v>
      </c>
      <c r="F193" s="136" t="s">
        <v>102</v>
      </c>
      <c r="G193" s="37">
        <f>269.2+242.7</f>
        <v>511.9</v>
      </c>
      <c r="H193" s="37">
        <v>511.9</v>
      </c>
      <c r="I193" s="37">
        <v>511.9</v>
      </c>
      <c r="J193" s="75">
        <f t="shared" si="85"/>
        <v>511.86</v>
      </c>
      <c r="K193" s="35">
        <f>'1.09'!M157</f>
        <v>511.86</v>
      </c>
      <c r="L193" s="35"/>
      <c r="M193" s="93">
        <f t="shared" si="79"/>
        <v>511.86</v>
      </c>
      <c r="N193" s="35">
        <f t="shared" si="72"/>
        <v>3.999999999996362E-2</v>
      </c>
      <c r="O193" s="70">
        <f t="shared" si="53"/>
        <v>99.992185973823027</v>
      </c>
      <c r="P193" s="71">
        <f t="shared" si="45"/>
        <v>0</v>
      </c>
      <c r="Q193" s="35">
        <f t="shared" si="70"/>
        <v>3.999999999996362E-2</v>
      </c>
      <c r="R193" s="72">
        <v>1103708</v>
      </c>
      <c r="S193" s="72">
        <f t="shared" si="46"/>
        <v>3.999999999996362E-2</v>
      </c>
      <c r="T193" s="62">
        <f t="shared" si="74"/>
        <v>3.999999999996362E-2</v>
      </c>
    </row>
    <row r="194" spans="1:20">
      <c r="A194" s="9"/>
      <c r="B194" s="15"/>
      <c r="C194" s="15"/>
      <c r="D194" s="16"/>
      <c r="E194" s="20">
        <v>169</v>
      </c>
      <c r="F194" s="136" t="s">
        <v>103</v>
      </c>
      <c r="G194" s="34">
        <f>1298+1027</f>
        <v>2325</v>
      </c>
      <c r="H194" s="34">
        <v>1247.5</v>
      </c>
      <c r="I194" s="34">
        <v>1247.5</v>
      </c>
      <c r="J194" s="75">
        <v>1247.2794699999999</v>
      </c>
      <c r="K194" s="35">
        <f>'1.09'!M158</f>
        <v>1247.2794699999999</v>
      </c>
      <c r="L194" s="36"/>
      <c r="M194" s="93">
        <f t="shared" si="79"/>
        <v>1247.2794699999999</v>
      </c>
      <c r="N194" s="35">
        <f t="shared" si="72"/>
        <v>0.22053000000005341</v>
      </c>
      <c r="O194" s="70">
        <f t="shared" si="53"/>
        <v>99.982322244488969</v>
      </c>
      <c r="P194" s="71">
        <f t="shared" ref="P194:P260" si="86">J194-M194</f>
        <v>0</v>
      </c>
      <c r="Q194" s="35">
        <f t="shared" si="70"/>
        <v>0.22053000000005341</v>
      </c>
      <c r="R194" s="72">
        <v>1103709</v>
      </c>
      <c r="S194" s="72">
        <f t="shared" ref="S194:S260" si="87">G194-M194</f>
        <v>1077.7205300000001</v>
      </c>
      <c r="T194" s="62">
        <f t="shared" si="74"/>
        <v>1077.7205300000001</v>
      </c>
    </row>
    <row r="195" spans="1:20" ht="25.5">
      <c r="A195" s="100"/>
      <c r="B195" s="15"/>
      <c r="C195" s="57" t="s">
        <v>43</v>
      </c>
      <c r="D195" s="16"/>
      <c r="E195" s="20"/>
      <c r="F195" s="139" t="s">
        <v>119</v>
      </c>
      <c r="G195" s="59">
        <f t="shared" ref="G195:M196" si="88">G196</f>
        <v>6798</v>
      </c>
      <c r="H195" s="59">
        <f t="shared" si="88"/>
        <v>463</v>
      </c>
      <c r="I195" s="59">
        <f t="shared" si="88"/>
        <v>0</v>
      </c>
      <c r="J195" s="33">
        <f t="shared" si="88"/>
        <v>462.26400000000001</v>
      </c>
      <c r="K195" s="35">
        <f>'1.05.'!M149</f>
        <v>0</v>
      </c>
      <c r="L195" s="29">
        <f t="shared" si="88"/>
        <v>0</v>
      </c>
      <c r="M195" s="29">
        <f t="shared" si="88"/>
        <v>0</v>
      </c>
      <c r="N195" s="35">
        <f t="shared" si="72"/>
        <v>0</v>
      </c>
      <c r="O195" s="70"/>
      <c r="P195" s="71">
        <f t="shared" si="86"/>
        <v>462.26400000000001</v>
      </c>
      <c r="Q195" s="35">
        <f t="shared" si="70"/>
        <v>0.73599999999999</v>
      </c>
      <c r="R195" s="72">
        <v>1103710</v>
      </c>
      <c r="S195" s="72">
        <f t="shared" si="87"/>
        <v>6798</v>
      </c>
    </row>
    <row r="196" spans="1:20">
      <c r="A196" s="9"/>
      <c r="B196" s="12"/>
      <c r="C196" s="12"/>
      <c r="D196" s="11" t="s">
        <v>7</v>
      </c>
      <c r="E196" s="97"/>
      <c r="F196" s="140" t="s">
        <v>85</v>
      </c>
      <c r="G196" s="98">
        <f>G197</f>
        <v>6798</v>
      </c>
      <c r="H196" s="98">
        <f t="shared" si="88"/>
        <v>463</v>
      </c>
      <c r="I196" s="98">
        <f t="shared" si="88"/>
        <v>0</v>
      </c>
      <c r="J196" s="99">
        <f t="shared" si="88"/>
        <v>462.26400000000001</v>
      </c>
      <c r="K196" s="35">
        <f>'1.05.'!M150</f>
        <v>0</v>
      </c>
      <c r="L196" s="32">
        <f t="shared" si="88"/>
        <v>0</v>
      </c>
      <c r="M196" s="32">
        <f t="shared" si="88"/>
        <v>0</v>
      </c>
      <c r="N196" s="35">
        <f t="shared" si="72"/>
        <v>0</v>
      </c>
      <c r="O196" s="68" t="e">
        <f>M196/I196*100</f>
        <v>#DIV/0!</v>
      </c>
      <c r="P196" s="71">
        <f t="shared" si="86"/>
        <v>462.26400000000001</v>
      </c>
      <c r="Q196" s="35">
        <f t="shared" si="70"/>
        <v>0.73599999999999</v>
      </c>
      <c r="R196" s="72">
        <v>1103711</v>
      </c>
      <c r="S196" s="72">
        <f t="shared" si="87"/>
        <v>6798</v>
      </c>
      <c r="T196" s="62">
        <f>G196-J196</f>
        <v>6335.7359999999999</v>
      </c>
    </row>
    <row r="197" spans="1:20" ht="25.5">
      <c r="A197" s="9"/>
      <c r="B197" s="13"/>
      <c r="C197" s="13"/>
      <c r="D197" s="14"/>
      <c r="E197" s="20">
        <v>414</v>
      </c>
      <c r="F197" s="50" t="s">
        <v>105</v>
      </c>
      <c r="G197" s="37">
        <f>660+6138</f>
        <v>6798</v>
      </c>
      <c r="H197" s="37">
        <v>463</v>
      </c>
      <c r="I197" s="37"/>
      <c r="J197" s="75">
        <v>462.26400000000001</v>
      </c>
      <c r="K197" s="35">
        <f>'1.09'!M161</f>
        <v>0</v>
      </c>
      <c r="L197" s="71"/>
      <c r="M197" s="93">
        <f t="shared" si="79"/>
        <v>0</v>
      </c>
      <c r="N197" s="35">
        <f t="shared" si="72"/>
        <v>0</v>
      </c>
      <c r="O197" s="70"/>
      <c r="P197" s="71">
        <f t="shared" si="86"/>
        <v>462.26400000000001</v>
      </c>
      <c r="Q197" s="35">
        <f t="shared" si="70"/>
        <v>0.73599999999999</v>
      </c>
      <c r="R197" s="72">
        <v>1103712</v>
      </c>
      <c r="S197" s="72">
        <f t="shared" si="87"/>
        <v>6798</v>
      </c>
    </row>
    <row r="198" spans="1:20" s="73" customFormat="1">
      <c r="A198" s="8"/>
      <c r="B198" s="8" t="s">
        <v>14</v>
      </c>
      <c r="C198" s="8"/>
      <c r="D198" s="21"/>
      <c r="E198" s="21"/>
      <c r="F198" s="139" t="s">
        <v>120</v>
      </c>
      <c r="G198" s="59">
        <f>G199+G220</f>
        <v>334783</v>
      </c>
      <c r="H198" s="59">
        <f t="shared" ref="H198:M198" si="89">H199+H220</f>
        <v>252904.8</v>
      </c>
      <c r="I198" s="59">
        <f t="shared" si="89"/>
        <v>240807.90000000002</v>
      </c>
      <c r="J198" s="29">
        <f t="shared" si="89"/>
        <v>251440.77675999998</v>
      </c>
      <c r="K198" s="29">
        <f t="shared" si="89"/>
        <v>18632.26413</v>
      </c>
      <c r="L198" s="29">
        <f t="shared" si="89"/>
        <v>30676.549040000002</v>
      </c>
      <c r="M198" s="29">
        <f t="shared" si="89"/>
        <v>240793.34808</v>
      </c>
      <c r="N198" s="35">
        <f t="shared" si="72"/>
        <v>14.551920000027167</v>
      </c>
      <c r="O198" s="68">
        <f t="shared" si="53"/>
        <v>99.993957042106999</v>
      </c>
      <c r="P198" s="35">
        <f t="shared" si="86"/>
        <v>10647.428679999983</v>
      </c>
      <c r="Q198" s="35">
        <f t="shared" ref="Q198:Q261" si="90">H198-J198</f>
        <v>1464.0232400000095</v>
      </c>
      <c r="R198" s="72">
        <v>1103713</v>
      </c>
      <c r="S198" s="72">
        <f t="shared" si="87"/>
        <v>93989.651920000004</v>
      </c>
      <c r="T198" s="62">
        <f t="shared" ref="T198:T279" si="91">G198-J198</f>
        <v>83342.223240000021</v>
      </c>
    </row>
    <row r="199" spans="1:20" ht="25.5">
      <c r="A199" s="8"/>
      <c r="B199" s="8"/>
      <c r="C199" s="17" t="s">
        <v>38</v>
      </c>
      <c r="D199" s="17"/>
      <c r="E199" s="21"/>
      <c r="F199" s="139" t="s">
        <v>121</v>
      </c>
      <c r="G199" s="42">
        <f>G200</f>
        <v>316128</v>
      </c>
      <c r="H199" s="42">
        <f t="shared" ref="H199:M199" si="92">H200</f>
        <v>240733.4</v>
      </c>
      <c r="I199" s="42">
        <f t="shared" si="92"/>
        <v>230373.80000000002</v>
      </c>
      <c r="J199" s="29">
        <f t="shared" si="92"/>
        <v>239706.26795999997</v>
      </c>
      <c r="K199" s="29">
        <f>'1.02.'!M143</f>
        <v>18632.26413</v>
      </c>
      <c r="L199" s="29">
        <f t="shared" si="92"/>
        <v>27772.561040000001</v>
      </c>
      <c r="M199" s="29">
        <f t="shared" si="92"/>
        <v>230359.33927999999</v>
      </c>
      <c r="N199" s="35">
        <f t="shared" si="72"/>
        <v>14.46072000003187</v>
      </c>
      <c r="O199" s="68">
        <f t="shared" si="53"/>
        <v>99.993722932034785</v>
      </c>
      <c r="P199" s="71">
        <f t="shared" si="86"/>
        <v>9346.9286799999827</v>
      </c>
      <c r="Q199" s="35">
        <f t="shared" si="90"/>
        <v>1027.1320400000259</v>
      </c>
      <c r="R199" s="72">
        <v>1103714</v>
      </c>
      <c r="S199" s="72">
        <f t="shared" si="87"/>
        <v>85768.660720000014</v>
      </c>
      <c r="T199" s="62">
        <f t="shared" si="91"/>
        <v>76421.732040000032</v>
      </c>
    </row>
    <row r="200" spans="1:20">
      <c r="A200" s="8"/>
      <c r="B200" s="8"/>
      <c r="C200" s="17"/>
      <c r="D200" s="17" t="s">
        <v>7</v>
      </c>
      <c r="E200" s="10"/>
      <c r="F200" s="140" t="s">
        <v>85</v>
      </c>
      <c r="G200" s="40">
        <f>SUM(G201:G219)</f>
        <v>316128</v>
      </c>
      <c r="H200" s="40">
        <f>SUM(H201:H219)</f>
        <v>240733.4</v>
      </c>
      <c r="I200" s="40">
        <f>SUM(I201:I219)</f>
        <v>230373.80000000002</v>
      </c>
      <c r="J200" s="24">
        <f>SUM(J201:J219)</f>
        <v>239706.26795999997</v>
      </c>
      <c r="K200" s="24">
        <f t="shared" ref="K200:M200" si="93">SUM(K201:K219)</f>
        <v>202586.77823999999</v>
      </c>
      <c r="L200" s="24">
        <f t="shared" si="93"/>
        <v>27772.561040000001</v>
      </c>
      <c r="M200" s="24">
        <f t="shared" si="93"/>
        <v>230359.33927999999</v>
      </c>
      <c r="N200" s="35">
        <f t="shared" si="72"/>
        <v>14.46072000003187</v>
      </c>
      <c r="O200" s="66">
        <f t="shared" si="53"/>
        <v>99.993722932034785</v>
      </c>
      <c r="P200" s="71">
        <f t="shared" si="86"/>
        <v>9346.9286799999827</v>
      </c>
      <c r="Q200" s="35">
        <f t="shared" si="90"/>
        <v>1027.1320400000259</v>
      </c>
      <c r="R200" s="72">
        <v>1103715</v>
      </c>
      <c r="S200" s="72">
        <f t="shared" si="87"/>
        <v>85768.660720000014</v>
      </c>
      <c r="T200" s="62">
        <f t="shared" si="91"/>
        <v>76421.732040000032</v>
      </c>
    </row>
    <row r="201" spans="1:20">
      <c r="A201" s="8"/>
      <c r="B201" s="9"/>
      <c r="C201" s="9"/>
      <c r="D201" s="69"/>
      <c r="E201" s="69">
        <v>111</v>
      </c>
      <c r="F201" s="136" t="s">
        <v>86</v>
      </c>
      <c r="G201" s="26">
        <f>216606-220-220</f>
        <v>216166</v>
      </c>
      <c r="H201" s="26">
        <v>160166</v>
      </c>
      <c r="I201" s="26">
        <v>160166</v>
      </c>
      <c r="J201" s="105">
        <f t="shared" ref="J201:J213" si="94">M201</f>
        <v>160166</v>
      </c>
      <c r="K201" s="35">
        <f>'1.09'!M165</f>
        <v>140166</v>
      </c>
      <c r="L201" s="27">
        <v>20000</v>
      </c>
      <c r="M201" s="93">
        <f t="shared" si="79"/>
        <v>160166</v>
      </c>
      <c r="N201" s="35">
        <f t="shared" si="72"/>
        <v>0</v>
      </c>
      <c r="O201" s="70">
        <f t="shared" si="53"/>
        <v>100</v>
      </c>
      <c r="P201" s="71">
        <f t="shared" si="86"/>
        <v>0</v>
      </c>
      <c r="Q201" s="35">
        <f t="shared" si="90"/>
        <v>0</v>
      </c>
      <c r="R201" s="72">
        <v>1103716</v>
      </c>
      <c r="S201" s="72">
        <f t="shared" si="87"/>
        <v>56000</v>
      </c>
      <c r="T201" s="62">
        <f t="shared" si="91"/>
        <v>56000</v>
      </c>
    </row>
    <row r="202" spans="1:20">
      <c r="A202" s="8"/>
      <c r="B202" s="9"/>
      <c r="C202" s="9"/>
      <c r="D202" s="69"/>
      <c r="E202" s="69">
        <v>112</v>
      </c>
      <c r="F202" s="136" t="s">
        <v>87</v>
      </c>
      <c r="G202" s="26">
        <f>220+220</f>
        <v>440</v>
      </c>
      <c r="H202" s="26">
        <v>440</v>
      </c>
      <c r="I202" s="26">
        <v>440</v>
      </c>
      <c r="J202" s="105">
        <f t="shared" si="94"/>
        <v>440</v>
      </c>
      <c r="K202" s="35">
        <f>'1.09'!M166</f>
        <v>440</v>
      </c>
      <c r="L202" s="27"/>
      <c r="M202" s="93">
        <f t="shared" si="79"/>
        <v>440</v>
      </c>
      <c r="N202" s="35">
        <f t="shared" ref="N202:N265" si="95">I202-M202</f>
        <v>0</v>
      </c>
      <c r="O202" s="70">
        <f t="shared" si="53"/>
        <v>100</v>
      </c>
      <c r="P202" s="71">
        <f t="shared" si="86"/>
        <v>0</v>
      </c>
      <c r="Q202" s="35">
        <f t="shared" si="90"/>
        <v>0</v>
      </c>
      <c r="R202" s="72">
        <v>1103717</v>
      </c>
      <c r="S202" s="72">
        <f t="shared" si="87"/>
        <v>0</v>
      </c>
    </row>
    <row r="203" spans="1:20">
      <c r="A203" s="8"/>
      <c r="B203" s="9"/>
      <c r="C203" s="9"/>
      <c r="D203" s="69"/>
      <c r="E203" s="76">
        <v>113</v>
      </c>
      <c r="F203" s="136" t="s">
        <v>88</v>
      </c>
      <c r="G203" s="26">
        <f>8519-400</f>
        <v>8119</v>
      </c>
      <c r="H203" s="26">
        <v>6574</v>
      </c>
      <c r="I203" s="26">
        <v>6574</v>
      </c>
      <c r="J203" s="105">
        <f t="shared" si="94"/>
        <v>6573.9400000000005</v>
      </c>
      <c r="K203" s="35">
        <f>'1.09'!M167</f>
        <v>6001</v>
      </c>
      <c r="L203" s="27">
        <v>572.94000000000005</v>
      </c>
      <c r="M203" s="93">
        <f t="shared" si="79"/>
        <v>6573.9400000000005</v>
      </c>
      <c r="N203" s="35">
        <f t="shared" si="95"/>
        <v>5.9999999999490683E-2</v>
      </c>
      <c r="O203" s="70">
        <f t="shared" si="53"/>
        <v>99.999087313659885</v>
      </c>
      <c r="P203" s="71">
        <f t="shared" si="86"/>
        <v>0</v>
      </c>
      <c r="Q203" s="35">
        <f t="shared" si="90"/>
        <v>5.9999999999490683E-2</v>
      </c>
      <c r="R203" s="72">
        <v>1103718</v>
      </c>
      <c r="S203" s="72">
        <f t="shared" si="87"/>
        <v>1545.0599999999995</v>
      </c>
      <c r="T203" s="62">
        <f t="shared" si="91"/>
        <v>1545.0599999999995</v>
      </c>
    </row>
    <row r="204" spans="1:20">
      <c r="A204" s="8"/>
      <c r="B204" s="9"/>
      <c r="C204" s="9"/>
      <c r="D204" s="69"/>
      <c r="E204" s="69">
        <v>116</v>
      </c>
      <c r="F204" s="136" t="s">
        <v>89</v>
      </c>
      <c r="G204" s="26">
        <v>2134</v>
      </c>
      <c r="H204" s="26">
        <v>1580</v>
      </c>
      <c r="I204" s="26">
        <v>1580</v>
      </c>
      <c r="J204" s="105">
        <f t="shared" si="94"/>
        <v>1580</v>
      </c>
      <c r="K204" s="35">
        <f>'1.09'!M168</f>
        <v>1380</v>
      </c>
      <c r="L204" s="27">
        <v>200</v>
      </c>
      <c r="M204" s="93">
        <f>K204+L204</f>
        <v>1580</v>
      </c>
      <c r="N204" s="35">
        <f t="shared" si="95"/>
        <v>0</v>
      </c>
      <c r="O204" s="70">
        <f>M204/I204*100</f>
        <v>100</v>
      </c>
      <c r="P204" s="71">
        <f t="shared" si="86"/>
        <v>0</v>
      </c>
      <c r="Q204" s="35">
        <f t="shared" si="90"/>
        <v>0</v>
      </c>
      <c r="R204" s="72">
        <v>1103719</v>
      </c>
      <c r="S204" s="72">
        <f t="shared" si="87"/>
        <v>554</v>
      </c>
    </row>
    <row r="205" spans="1:20">
      <c r="A205" s="8"/>
      <c r="B205" s="9"/>
      <c r="C205" s="9"/>
      <c r="D205" s="69"/>
      <c r="E205" s="69">
        <v>121</v>
      </c>
      <c r="F205" s="136" t="s">
        <v>90</v>
      </c>
      <c r="G205" s="26">
        <f>11697+550</f>
        <v>12247</v>
      </c>
      <c r="H205" s="26">
        <v>9290</v>
      </c>
      <c r="I205" s="26">
        <v>9290</v>
      </c>
      <c r="J205" s="105">
        <f t="shared" si="94"/>
        <v>9290</v>
      </c>
      <c r="K205" s="35">
        <f>'1.09'!M169</f>
        <v>8310</v>
      </c>
      <c r="L205" s="27">
        <v>980</v>
      </c>
      <c r="M205" s="93">
        <f t="shared" si="79"/>
        <v>9290</v>
      </c>
      <c r="N205" s="35">
        <f t="shared" si="95"/>
        <v>0</v>
      </c>
      <c r="O205" s="70">
        <f t="shared" ref="O205:O275" si="96">M205/I205*100</f>
        <v>100</v>
      </c>
      <c r="P205" s="71">
        <f t="shared" si="86"/>
        <v>0</v>
      </c>
      <c r="Q205" s="35">
        <f t="shared" si="90"/>
        <v>0</v>
      </c>
      <c r="R205" s="72">
        <v>1103720</v>
      </c>
      <c r="S205" s="72">
        <f t="shared" si="87"/>
        <v>2957</v>
      </c>
      <c r="T205" s="62">
        <f t="shared" si="91"/>
        <v>2957</v>
      </c>
    </row>
    <row r="206" spans="1:20">
      <c r="A206" s="8"/>
      <c r="B206" s="9"/>
      <c r="C206" s="9"/>
      <c r="D206" s="69"/>
      <c r="E206" s="69">
        <v>122</v>
      </c>
      <c r="F206" s="136" t="s">
        <v>91</v>
      </c>
      <c r="G206" s="26">
        <f>9747-350</f>
        <v>9397</v>
      </c>
      <c r="H206" s="26">
        <v>6327</v>
      </c>
      <c r="I206" s="26">
        <v>6327</v>
      </c>
      <c r="J206" s="105">
        <f>M206</f>
        <v>6327</v>
      </c>
      <c r="K206" s="35">
        <f>'1.09'!M170</f>
        <v>5427</v>
      </c>
      <c r="L206" s="27">
        <v>900</v>
      </c>
      <c r="M206" s="93">
        <f t="shared" si="79"/>
        <v>6327</v>
      </c>
      <c r="N206" s="35">
        <f t="shared" si="95"/>
        <v>0</v>
      </c>
      <c r="O206" s="70">
        <f t="shared" si="96"/>
        <v>100</v>
      </c>
      <c r="P206" s="71">
        <f t="shared" si="86"/>
        <v>0</v>
      </c>
      <c r="Q206" s="35">
        <f t="shared" si="90"/>
        <v>0</v>
      </c>
      <c r="R206" s="72">
        <v>1103721</v>
      </c>
      <c r="S206" s="72">
        <f t="shared" si="87"/>
        <v>3070</v>
      </c>
      <c r="T206" s="62">
        <f t="shared" si="91"/>
        <v>3070</v>
      </c>
    </row>
    <row r="207" spans="1:20">
      <c r="A207" s="8"/>
      <c r="B207" s="9"/>
      <c r="C207" s="9"/>
      <c r="D207" s="69"/>
      <c r="E207" s="69">
        <v>123</v>
      </c>
      <c r="F207" s="136" t="s">
        <v>92</v>
      </c>
      <c r="G207" s="26">
        <v>235</v>
      </c>
      <c r="H207" s="26">
        <v>191.1</v>
      </c>
      <c r="I207" s="26">
        <v>191.1</v>
      </c>
      <c r="J207" s="105">
        <f t="shared" si="94"/>
        <v>191.00076999999999</v>
      </c>
      <c r="K207" s="35">
        <f>'1.09'!M171</f>
        <v>191.00076999999999</v>
      </c>
      <c r="L207" s="27"/>
      <c r="M207" s="93">
        <f t="shared" si="79"/>
        <v>191.00076999999999</v>
      </c>
      <c r="N207" s="35">
        <f t="shared" si="95"/>
        <v>9.9230000000005703E-2</v>
      </c>
      <c r="O207" s="70">
        <f t="shared" si="96"/>
        <v>99.948074306645722</v>
      </c>
      <c r="P207" s="71">
        <f t="shared" si="86"/>
        <v>0</v>
      </c>
      <c r="Q207" s="35">
        <f t="shared" si="90"/>
        <v>9.9230000000005703E-2</v>
      </c>
      <c r="R207" s="72">
        <v>1103722</v>
      </c>
      <c r="S207" s="72">
        <f t="shared" si="87"/>
        <v>43.999230000000011</v>
      </c>
      <c r="T207" s="62">
        <f t="shared" si="91"/>
        <v>43.999230000000011</v>
      </c>
    </row>
    <row r="208" spans="1:20">
      <c r="A208" s="9"/>
      <c r="B208" s="9"/>
      <c r="C208" s="9"/>
      <c r="D208" s="69"/>
      <c r="E208" s="69">
        <v>124</v>
      </c>
      <c r="F208" s="136" t="s">
        <v>93</v>
      </c>
      <c r="G208" s="26">
        <f>6378-200</f>
        <v>6178</v>
      </c>
      <c r="H208" s="26">
        <v>4040</v>
      </c>
      <c r="I208" s="26">
        <v>4040</v>
      </c>
      <c r="J208" s="105">
        <f t="shared" si="94"/>
        <v>4040</v>
      </c>
      <c r="K208" s="35">
        <f>'1.09'!M172</f>
        <v>3420</v>
      </c>
      <c r="L208" s="27">
        <v>620</v>
      </c>
      <c r="M208" s="93">
        <f t="shared" si="79"/>
        <v>4040</v>
      </c>
      <c r="N208" s="35">
        <f t="shared" si="95"/>
        <v>0</v>
      </c>
      <c r="O208" s="70">
        <f t="shared" si="96"/>
        <v>100</v>
      </c>
      <c r="P208" s="71">
        <f t="shared" si="86"/>
        <v>0</v>
      </c>
      <c r="Q208" s="35">
        <f t="shared" si="90"/>
        <v>0</v>
      </c>
      <c r="R208" s="72">
        <v>1103723</v>
      </c>
      <c r="S208" s="72">
        <f t="shared" si="87"/>
        <v>2138</v>
      </c>
      <c r="T208" s="62">
        <f t="shared" si="91"/>
        <v>2138</v>
      </c>
    </row>
    <row r="209" spans="1:20" s="73" customFormat="1">
      <c r="A209" s="9"/>
      <c r="B209" s="9"/>
      <c r="C209" s="9"/>
      <c r="D209" s="69"/>
      <c r="E209" s="69">
        <v>141</v>
      </c>
      <c r="F209" s="136" t="s">
        <v>116</v>
      </c>
      <c r="G209" s="26">
        <v>20147</v>
      </c>
      <c r="H209" s="26">
        <v>18927.400000000001</v>
      </c>
      <c r="I209" s="26">
        <v>12200</v>
      </c>
      <c r="J209" s="105">
        <v>18927.335200000001</v>
      </c>
      <c r="K209" s="35">
        <f>'1.09'!M173</f>
        <v>10700</v>
      </c>
      <c r="L209" s="27">
        <v>1500</v>
      </c>
      <c r="M209" s="93">
        <f t="shared" si="79"/>
        <v>12200</v>
      </c>
      <c r="N209" s="35">
        <f t="shared" si="95"/>
        <v>0</v>
      </c>
      <c r="O209" s="70">
        <f t="shared" si="96"/>
        <v>100</v>
      </c>
      <c r="P209" s="71">
        <f t="shared" si="86"/>
        <v>6727.3352000000014</v>
      </c>
      <c r="Q209" s="35">
        <f t="shared" si="90"/>
        <v>6.4800000000104774E-2</v>
      </c>
      <c r="R209" s="72">
        <v>1103724</v>
      </c>
      <c r="S209" s="72">
        <f t="shared" si="87"/>
        <v>7947</v>
      </c>
      <c r="T209" s="62">
        <f t="shared" si="91"/>
        <v>1219.6647999999986</v>
      </c>
    </row>
    <row r="210" spans="1:20" ht="25.5">
      <c r="A210" s="9"/>
      <c r="B210" s="9"/>
      <c r="C210" s="9"/>
      <c r="D210" s="69"/>
      <c r="E210" s="69">
        <v>142</v>
      </c>
      <c r="F210" s="136" t="s">
        <v>122</v>
      </c>
      <c r="G210" s="26">
        <v>2651</v>
      </c>
      <c r="H210" s="26">
        <v>1650.1</v>
      </c>
      <c r="I210" s="26">
        <v>1650.1</v>
      </c>
      <c r="J210" s="105">
        <v>1650.0236</v>
      </c>
      <c r="K210" s="35">
        <f>'1.09'!M174</f>
        <v>1650.0236</v>
      </c>
      <c r="L210" s="27"/>
      <c r="M210" s="93">
        <f t="shared" si="79"/>
        <v>1650.0236</v>
      </c>
      <c r="N210" s="35">
        <f t="shared" si="95"/>
        <v>7.639999999992142E-2</v>
      </c>
      <c r="O210" s="70">
        <f t="shared" si="96"/>
        <v>99.995369977577127</v>
      </c>
      <c r="P210" s="71">
        <f t="shared" si="86"/>
        <v>0</v>
      </c>
      <c r="Q210" s="35">
        <f t="shared" si="90"/>
        <v>7.639999999992142E-2</v>
      </c>
      <c r="R210" s="72">
        <v>1103725</v>
      </c>
      <c r="S210" s="72">
        <f t="shared" si="87"/>
        <v>1000.9764</v>
      </c>
      <c r="T210" s="62">
        <f t="shared" si="91"/>
        <v>1000.9764</v>
      </c>
    </row>
    <row r="211" spans="1:20">
      <c r="A211" s="9"/>
      <c r="B211" s="9"/>
      <c r="C211" s="9"/>
      <c r="D211" s="69"/>
      <c r="E211" s="69">
        <v>144</v>
      </c>
      <c r="F211" s="136" t="s">
        <v>97</v>
      </c>
      <c r="G211" s="26">
        <f>1400+168.8</f>
        <v>1568.8</v>
      </c>
      <c r="H211" s="26">
        <v>1568.8</v>
      </c>
      <c r="I211" s="26">
        <v>1568.8</v>
      </c>
      <c r="J211" s="105">
        <v>1568.75827</v>
      </c>
      <c r="K211" s="35">
        <f>'1.09'!M175</f>
        <v>1399.8342700000001</v>
      </c>
      <c r="L211" s="27">
        <v>168.92400000000001</v>
      </c>
      <c r="M211" s="93">
        <f t="shared" si="79"/>
        <v>1568.75827</v>
      </c>
      <c r="N211" s="35">
        <f t="shared" si="95"/>
        <v>4.172999999991589E-2</v>
      </c>
      <c r="O211" s="70">
        <f t="shared" si="96"/>
        <v>99.997340005099446</v>
      </c>
      <c r="P211" s="71">
        <f t="shared" si="86"/>
        <v>0</v>
      </c>
      <c r="Q211" s="35">
        <f t="shared" si="90"/>
        <v>4.172999999991589E-2</v>
      </c>
      <c r="R211" s="72">
        <v>1103726</v>
      </c>
      <c r="S211" s="72">
        <f t="shared" si="87"/>
        <v>4.172999999991589E-2</v>
      </c>
      <c r="T211" s="62">
        <f t="shared" si="91"/>
        <v>4.172999999991589E-2</v>
      </c>
    </row>
    <row r="212" spans="1:20">
      <c r="A212" s="9"/>
      <c r="B212" s="9"/>
      <c r="C212" s="9"/>
      <c r="D212" s="69"/>
      <c r="E212" s="69">
        <v>149</v>
      </c>
      <c r="F212" s="136" t="s">
        <v>98</v>
      </c>
      <c r="G212" s="26">
        <f>9495-168.8</f>
        <v>9326.2000000000007</v>
      </c>
      <c r="H212" s="26">
        <v>7443.6</v>
      </c>
      <c r="I212" s="26">
        <v>7443.6</v>
      </c>
      <c r="J212" s="105">
        <f>M212</f>
        <v>7443.5486600000004</v>
      </c>
      <c r="K212" s="35">
        <f>'1.09'!M176</f>
        <v>6976.5</v>
      </c>
      <c r="L212" s="27">
        <v>467.04865999999998</v>
      </c>
      <c r="M212" s="93">
        <f t="shared" si="79"/>
        <v>7443.5486600000004</v>
      </c>
      <c r="N212" s="35">
        <f t="shared" si="95"/>
        <v>5.1339999999981956E-2</v>
      </c>
      <c r="O212" s="70">
        <f t="shared" si="96"/>
        <v>99.99931027997205</v>
      </c>
      <c r="P212" s="71">
        <f t="shared" si="86"/>
        <v>0</v>
      </c>
      <c r="Q212" s="35">
        <f t="shared" si="90"/>
        <v>5.1339999999981956E-2</v>
      </c>
      <c r="R212" s="72">
        <v>1103727</v>
      </c>
      <c r="S212" s="72">
        <f t="shared" si="87"/>
        <v>1882.6513400000003</v>
      </c>
      <c r="T212" s="62">
        <f t="shared" si="91"/>
        <v>1882.6513400000003</v>
      </c>
    </row>
    <row r="213" spans="1:20">
      <c r="A213" s="9"/>
      <c r="B213" s="9"/>
      <c r="C213" s="9"/>
      <c r="D213" s="69"/>
      <c r="E213" s="69">
        <v>151</v>
      </c>
      <c r="F213" s="136" t="s">
        <v>99</v>
      </c>
      <c r="G213" s="26">
        <v>17588</v>
      </c>
      <c r="H213" s="26">
        <v>13400</v>
      </c>
      <c r="I213" s="26">
        <v>13400</v>
      </c>
      <c r="J213" s="105">
        <f t="shared" si="94"/>
        <v>13400</v>
      </c>
      <c r="K213" s="35">
        <f>'1.09'!M177</f>
        <v>11900</v>
      </c>
      <c r="L213" s="27">
        <v>1500</v>
      </c>
      <c r="M213" s="93">
        <f t="shared" si="79"/>
        <v>13400</v>
      </c>
      <c r="N213" s="35">
        <f t="shared" si="95"/>
        <v>0</v>
      </c>
      <c r="O213" s="70">
        <f t="shared" si="96"/>
        <v>100</v>
      </c>
      <c r="P213" s="71">
        <f t="shared" si="86"/>
        <v>0</v>
      </c>
      <c r="Q213" s="35">
        <f t="shared" si="90"/>
        <v>0</v>
      </c>
      <c r="R213" s="72">
        <v>1103728</v>
      </c>
      <c r="S213" s="72">
        <f t="shared" si="87"/>
        <v>4188</v>
      </c>
      <c r="T213" s="62">
        <f t="shared" si="91"/>
        <v>4188</v>
      </c>
    </row>
    <row r="214" spans="1:20">
      <c r="A214" s="9"/>
      <c r="B214" s="9"/>
      <c r="C214" s="9"/>
      <c r="D214" s="69"/>
      <c r="E214" s="69">
        <v>152</v>
      </c>
      <c r="F214" s="136" t="s">
        <v>100</v>
      </c>
      <c r="G214" s="26">
        <v>1401</v>
      </c>
      <c r="H214" s="26">
        <v>1401</v>
      </c>
      <c r="I214" s="26">
        <v>622.1</v>
      </c>
      <c r="J214" s="105">
        <v>956.68</v>
      </c>
      <c r="K214" s="35">
        <f>'1.09'!M178</f>
        <v>546.51980000000015</v>
      </c>
      <c r="L214" s="27">
        <v>74.694379999999995</v>
      </c>
      <c r="M214" s="93">
        <f t="shared" si="79"/>
        <v>621.21418000000017</v>
      </c>
      <c r="N214" s="35">
        <f t="shared" si="95"/>
        <v>0.88581999999985328</v>
      </c>
      <c r="O214" s="70">
        <f t="shared" si="96"/>
        <v>99.85760810159141</v>
      </c>
      <c r="P214" s="71">
        <f t="shared" si="86"/>
        <v>335.46581999999978</v>
      </c>
      <c r="Q214" s="35">
        <f t="shared" si="90"/>
        <v>444.32000000000005</v>
      </c>
      <c r="R214" s="72">
        <v>1103729</v>
      </c>
      <c r="S214" s="72">
        <f t="shared" si="87"/>
        <v>779.78581999999983</v>
      </c>
      <c r="T214" s="62">
        <f t="shared" si="91"/>
        <v>444.32000000000005</v>
      </c>
    </row>
    <row r="215" spans="1:20">
      <c r="A215" s="9"/>
      <c r="B215" s="9"/>
      <c r="C215" s="9"/>
      <c r="D215" s="69"/>
      <c r="E215" s="69">
        <v>158</v>
      </c>
      <c r="F215" s="136" t="s">
        <v>101</v>
      </c>
      <c r="G215" s="26">
        <f>730+1099.4</f>
        <v>1829.4</v>
      </c>
      <c r="H215" s="26">
        <v>1829.4</v>
      </c>
      <c r="I215" s="26">
        <v>1062.2</v>
      </c>
      <c r="J215" s="105">
        <v>1429.1756</v>
      </c>
      <c r="K215" s="35">
        <f>'1.09'!M179</f>
        <v>994.59179999999992</v>
      </c>
      <c r="L215" s="27">
        <v>66.453999999999994</v>
      </c>
      <c r="M215" s="93">
        <f t="shared" si="79"/>
        <v>1061.0457999999999</v>
      </c>
      <c r="N215" s="35">
        <f t="shared" si="95"/>
        <v>1.1542000000001735</v>
      </c>
      <c r="O215" s="70">
        <f t="shared" si="96"/>
        <v>99.891338730935772</v>
      </c>
      <c r="P215" s="71">
        <f t="shared" si="86"/>
        <v>368.12980000000016</v>
      </c>
      <c r="Q215" s="35">
        <f t="shared" si="90"/>
        <v>400.22440000000006</v>
      </c>
      <c r="R215" s="72">
        <v>1103730</v>
      </c>
      <c r="S215" s="72">
        <f t="shared" si="87"/>
        <v>768.35420000000022</v>
      </c>
      <c r="T215" s="62">
        <f t="shared" si="91"/>
        <v>400.22440000000006</v>
      </c>
    </row>
    <row r="216" spans="1:20">
      <c r="A216" s="9"/>
      <c r="B216" s="9"/>
      <c r="C216" s="9"/>
      <c r="D216" s="69"/>
      <c r="E216" s="69">
        <v>159</v>
      </c>
      <c r="F216" s="136" t="s">
        <v>84</v>
      </c>
      <c r="G216" s="26">
        <f>6564-1099.4</f>
        <v>5464.6</v>
      </c>
      <c r="H216" s="26">
        <v>4679</v>
      </c>
      <c r="I216" s="26">
        <v>2592.9</v>
      </c>
      <c r="J216" s="105">
        <v>4508.89786</v>
      </c>
      <c r="K216" s="35">
        <f>'1.09'!M180</f>
        <v>2333.9</v>
      </c>
      <c r="L216" s="27">
        <v>259</v>
      </c>
      <c r="M216" s="93">
        <f t="shared" si="79"/>
        <v>2592.9</v>
      </c>
      <c r="N216" s="35">
        <f t="shared" si="95"/>
        <v>0</v>
      </c>
      <c r="O216" s="70">
        <f t="shared" si="96"/>
        <v>100</v>
      </c>
      <c r="P216" s="71">
        <f t="shared" si="86"/>
        <v>1915.9978599999999</v>
      </c>
      <c r="Q216" s="35">
        <f t="shared" si="90"/>
        <v>170.10213999999996</v>
      </c>
      <c r="R216" s="72">
        <v>1103731</v>
      </c>
      <c r="S216" s="72">
        <f t="shared" si="87"/>
        <v>2871.7000000000003</v>
      </c>
      <c r="T216" s="62">
        <f t="shared" si="91"/>
        <v>955.70214000000033</v>
      </c>
    </row>
    <row r="217" spans="1:20">
      <c r="A217" s="9"/>
      <c r="B217" s="9"/>
      <c r="C217" s="9"/>
      <c r="D217" s="69"/>
      <c r="E217" s="69">
        <v>161</v>
      </c>
      <c r="F217" s="136" t="s">
        <v>102</v>
      </c>
      <c r="G217" s="26">
        <f>816+400</f>
        <v>1216</v>
      </c>
      <c r="H217" s="26">
        <v>1216</v>
      </c>
      <c r="I217" s="26">
        <v>1216</v>
      </c>
      <c r="J217" s="105">
        <f t="shared" ref="J217:J219" si="97">M217</f>
        <v>1203.9079999999999</v>
      </c>
      <c r="K217" s="35">
        <f>'1.09'!M181</f>
        <v>740.40800000000002</v>
      </c>
      <c r="L217" s="27">
        <v>463.5</v>
      </c>
      <c r="M217" s="93">
        <f t="shared" si="79"/>
        <v>1203.9079999999999</v>
      </c>
      <c r="N217" s="35">
        <f t="shared" si="95"/>
        <v>12.092000000000098</v>
      </c>
      <c r="O217" s="70">
        <f t="shared" si="96"/>
        <v>99.005592105263148</v>
      </c>
      <c r="P217" s="71">
        <f t="shared" si="86"/>
        <v>0</v>
      </c>
      <c r="Q217" s="35">
        <f t="shared" si="90"/>
        <v>12.092000000000098</v>
      </c>
      <c r="R217" s="72">
        <v>1103732</v>
      </c>
      <c r="S217" s="72">
        <f t="shared" si="87"/>
        <v>12.092000000000098</v>
      </c>
      <c r="T217" s="62">
        <f t="shared" si="91"/>
        <v>12.092000000000098</v>
      </c>
    </row>
    <row r="218" spans="1:20">
      <c r="A218" s="9"/>
      <c r="B218" s="9"/>
      <c r="C218" s="9"/>
      <c r="D218" s="69"/>
      <c r="E218" s="69">
        <v>168</v>
      </c>
      <c r="F218" s="136" t="s">
        <v>167</v>
      </c>
      <c r="G218" s="26">
        <v>20</v>
      </c>
      <c r="H218" s="26">
        <v>10</v>
      </c>
      <c r="I218" s="26">
        <v>10</v>
      </c>
      <c r="J218" s="105">
        <f t="shared" si="97"/>
        <v>10</v>
      </c>
      <c r="K218" s="35">
        <f>'1.09'!M182</f>
        <v>10</v>
      </c>
      <c r="L218" s="27"/>
      <c r="M218" s="93">
        <f t="shared" si="79"/>
        <v>10</v>
      </c>
      <c r="N218" s="35">
        <f t="shared" si="95"/>
        <v>0</v>
      </c>
      <c r="O218" s="70">
        <f t="shared" si="96"/>
        <v>100</v>
      </c>
      <c r="P218" s="71">
        <f t="shared" si="86"/>
        <v>0</v>
      </c>
      <c r="Q218" s="35">
        <f t="shared" si="90"/>
        <v>0</v>
      </c>
      <c r="R218" s="72">
        <v>1103733</v>
      </c>
      <c r="S218" s="72">
        <f t="shared" si="87"/>
        <v>10</v>
      </c>
    </row>
    <row r="219" spans="1:20" hidden="1">
      <c r="A219" s="9"/>
      <c r="B219" s="9"/>
      <c r="C219" s="9"/>
      <c r="D219" s="69"/>
      <c r="E219" s="69">
        <v>169</v>
      </c>
      <c r="F219" s="3" t="s">
        <v>6</v>
      </c>
      <c r="G219" s="26">
        <f>20-20</f>
        <v>0</v>
      </c>
      <c r="H219" s="26"/>
      <c r="I219" s="26"/>
      <c r="J219" s="105">
        <f t="shared" si="97"/>
        <v>0</v>
      </c>
      <c r="K219" s="35">
        <f>'1.09'!M183</f>
        <v>0</v>
      </c>
      <c r="L219" s="27"/>
      <c r="M219" s="93">
        <f>K219+L219</f>
        <v>0</v>
      </c>
      <c r="N219" s="35">
        <f t="shared" si="95"/>
        <v>0</v>
      </c>
      <c r="O219" s="70" t="e">
        <f t="shared" si="96"/>
        <v>#DIV/0!</v>
      </c>
      <c r="P219" s="71">
        <f t="shared" si="86"/>
        <v>0</v>
      </c>
      <c r="Q219" s="35">
        <f t="shared" si="90"/>
        <v>0</v>
      </c>
      <c r="R219" s="72">
        <v>1103733</v>
      </c>
      <c r="S219" s="72">
        <f t="shared" si="87"/>
        <v>0</v>
      </c>
      <c r="T219" s="62">
        <f t="shared" si="91"/>
        <v>0</v>
      </c>
    </row>
    <row r="220" spans="1:20" ht="25.5">
      <c r="A220" s="100"/>
      <c r="B220" s="15"/>
      <c r="C220" s="57" t="s">
        <v>43</v>
      </c>
      <c r="D220" s="16"/>
      <c r="E220" s="20"/>
      <c r="F220" s="139" t="s">
        <v>119</v>
      </c>
      <c r="G220" s="59">
        <f t="shared" ref="G220:M220" si="98">G221</f>
        <v>18655</v>
      </c>
      <c r="H220" s="59">
        <f t="shared" si="98"/>
        <v>12171.4</v>
      </c>
      <c r="I220" s="59">
        <f t="shared" si="98"/>
        <v>10434.099999999999</v>
      </c>
      <c r="J220" s="29">
        <f t="shared" si="98"/>
        <v>11734.508800000001</v>
      </c>
      <c r="K220" s="35">
        <f>'1.02.'!M163</f>
        <v>0</v>
      </c>
      <c r="L220" s="59">
        <f t="shared" si="98"/>
        <v>2903.9879999999998</v>
      </c>
      <c r="M220" s="29">
        <f t="shared" si="98"/>
        <v>10434.0088</v>
      </c>
      <c r="N220" s="35">
        <f t="shared" si="95"/>
        <v>9.11999999989348E-2</v>
      </c>
      <c r="O220" s="70"/>
      <c r="P220" s="71">
        <f t="shared" si="86"/>
        <v>1300.5000000000018</v>
      </c>
      <c r="Q220" s="35">
        <f t="shared" si="90"/>
        <v>436.89119999999821</v>
      </c>
      <c r="R220" s="72">
        <v>1103734</v>
      </c>
      <c r="S220" s="72">
        <f t="shared" si="87"/>
        <v>8220.9912000000004</v>
      </c>
    </row>
    <row r="221" spans="1:20">
      <c r="A221" s="9"/>
      <c r="B221" s="12"/>
      <c r="C221" s="12"/>
      <c r="D221" s="11" t="s">
        <v>7</v>
      </c>
      <c r="E221" s="97"/>
      <c r="F221" s="122" t="s">
        <v>85</v>
      </c>
      <c r="G221" s="98">
        <f>G222+G223+G224</f>
        <v>18655</v>
      </c>
      <c r="H221" s="98">
        <f t="shared" ref="H221:M221" si="99">H222+H223+H224</f>
        <v>12171.4</v>
      </c>
      <c r="I221" s="98">
        <f t="shared" si="99"/>
        <v>10434.099999999999</v>
      </c>
      <c r="J221" s="32">
        <f t="shared" si="99"/>
        <v>11734.508800000001</v>
      </c>
      <c r="K221" s="35">
        <f>'1.02.'!M164</f>
        <v>0</v>
      </c>
      <c r="L221" s="98">
        <f t="shared" si="99"/>
        <v>2903.9879999999998</v>
      </c>
      <c r="M221" s="32">
        <f t="shared" si="99"/>
        <v>10434.0088</v>
      </c>
      <c r="N221" s="35">
        <f t="shared" si="95"/>
        <v>9.11999999989348E-2</v>
      </c>
      <c r="O221" s="68">
        <f>M221/I221*100</f>
        <v>99.999125942822104</v>
      </c>
      <c r="P221" s="71">
        <f t="shared" si="86"/>
        <v>1300.5000000000018</v>
      </c>
      <c r="Q221" s="35">
        <f t="shared" si="90"/>
        <v>436.89119999999821</v>
      </c>
      <c r="R221" s="72">
        <v>1103735</v>
      </c>
      <c r="S221" s="72">
        <f t="shared" si="87"/>
        <v>8220.9912000000004</v>
      </c>
      <c r="T221" s="62">
        <f>G221-J221</f>
        <v>6920.4911999999986</v>
      </c>
    </row>
    <row r="222" spans="1:20" hidden="1">
      <c r="A222" s="9"/>
      <c r="B222" s="13"/>
      <c r="C222" s="13"/>
      <c r="D222" s="14"/>
      <c r="E222" s="20">
        <v>413</v>
      </c>
      <c r="F222" s="106" t="s">
        <v>56</v>
      </c>
      <c r="G222" s="34"/>
      <c r="H222" s="34"/>
      <c r="I222" s="34"/>
      <c r="J222" s="107">
        <f>M222</f>
        <v>0</v>
      </c>
      <c r="K222" s="35">
        <f>'1.02.'!M165</f>
        <v>0</v>
      </c>
      <c r="L222" s="34"/>
      <c r="M222" s="93">
        <f t="shared" ref="M222:M224" si="100">K222+L222</f>
        <v>0</v>
      </c>
      <c r="N222" s="35">
        <f t="shared" si="95"/>
        <v>0</v>
      </c>
      <c r="O222" s="70"/>
      <c r="P222" s="71">
        <f t="shared" si="86"/>
        <v>0</v>
      </c>
      <c r="Q222" s="35">
        <f t="shared" si="90"/>
        <v>0</v>
      </c>
      <c r="R222" s="72">
        <v>1103736</v>
      </c>
      <c r="S222" s="72">
        <f t="shared" si="87"/>
        <v>0</v>
      </c>
    </row>
    <row r="223" spans="1:20" ht="25.5">
      <c r="A223" s="9"/>
      <c r="B223" s="13"/>
      <c r="C223" s="13"/>
      <c r="D223" s="14"/>
      <c r="E223" s="20">
        <v>414</v>
      </c>
      <c r="F223" s="50" t="s">
        <v>105</v>
      </c>
      <c r="G223" s="37">
        <f>18655-255.8</f>
        <v>18399.2</v>
      </c>
      <c r="H223" s="37">
        <v>11915.6</v>
      </c>
      <c r="I223" s="37">
        <v>10178.299999999999</v>
      </c>
      <c r="J223" s="75">
        <v>11478.728800000001</v>
      </c>
      <c r="K223" s="35">
        <f>'1.09'!M187</f>
        <v>7274.2407999999996</v>
      </c>
      <c r="L223" s="37">
        <v>2903.9879999999998</v>
      </c>
      <c r="M223" s="93">
        <f t="shared" si="100"/>
        <v>10178.228799999999</v>
      </c>
      <c r="N223" s="35">
        <f t="shared" si="95"/>
        <v>7.1200000000317232E-2</v>
      </c>
      <c r="O223" s="70">
        <f t="shared" ref="O223:O224" si="101">M223/I223*100</f>
        <v>99.999300472574006</v>
      </c>
      <c r="P223" s="71">
        <f t="shared" si="86"/>
        <v>1300.5000000000018</v>
      </c>
      <c r="Q223" s="35">
        <f t="shared" si="90"/>
        <v>436.87119999999959</v>
      </c>
      <c r="R223" s="72">
        <v>1103737</v>
      </c>
      <c r="S223" s="72">
        <f t="shared" si="87"/>
        <v>8220.9712000000018</v>
      </c>
    </row>
    <row r="224" spans="1:20">
      <c r="A224" s="100"/>
      <c r="B224" s="15"/>
      <c r="C224" s="15"/>
      <c r="D224" s="16"/>
      <c r="E224" s="20">
        <v>419</v>
      </c>
      <c r="F224" s="86" t="s">
        <v>153</v>
      </c>
      <c r="G224" s="37">
        <v>255.8</v>
      </c>
      <c r="H224" s="37">
        <v>255.8</v>
      </c>
      <c r="I224" s="37">
        <v>255.8</v>
      </c>
      <c r="J224" s="107">
        <f t="shared" ref="J224" si="102">M224</f>
        <v>255.78</v>
      </c>
      <c r="K224" s="35">
        <f>'1.09'!M188</f>
        <v>255.78</v>
      </c>
      <c r="L224" s="35"/>
      <c r="M224" s="93">
        <f t="shared" si="100"/>
        <v>255.78</v>
      </c>
      <c r="N224" s="35">
        <f t="shared" si="95"/>
        <v>2.0000000000010232E-2</v>
      </c>
      <c r="O224" s="70">
        <f t="shared" si="101"/>
        <v>99.992181391712279</v>
      </c>
      <c r="P224" s="71">
        <f t="shared" si="86"/>
        <v>0</v>
      </c>
      <c r="Q224" s="35">
        <f t="shared" si="90"/>
        <v>2.0000000000010232E-2</v>
      </c>
      <c r="R224" s="72">
        <v>1103738</v>
      </c>
      <c r="S224" s="72">
        <f t="shared" si="87"/>
        <v>2.0000000000010232E-2</v>
      </c>
    </row>
    <row r="225" spans="1:20" s="95" customFormat="1" ht="13.5">
      <c r="A225" s="8"/>
      <c r="B225" s="57">
        <v>1265</v>
      </c>
      <c r="C225" s="12"/>
      <c r="D225" s="11"/>
      <c r="E225" s="18"/>
      <c r="F225" s="139" t="s">
        <v>123</v>
      </c>
      <c r="G225" s="42">
        <f>G226+G247</f>
        <v>1459865</v>
      </c>
      <c r="H225" s="42">
        <f t="shared" ref="H225:M225" si="103">H226+H247</f>
        <v>1183777</v>
      </c>
      <c r="I225" s="42">
        <f t="shared" si="103"/>
        <v>991300.4</v>
      </c>
      <c r="J225" s="29">
        <f t="shared" si="103"/>
        <v>1183442.42931</v>
      </c>
      <c r="K225" s="29">
        <f t="shared" si="103"/>
        <v>363495.18948</v>
      </c>
      <c r="L225" s="29">
        <f t="shared" si="103"/>
        <v>84493.556530000002</v>
      </c>
      <c r="M225" s="29">
        <f t="shared" si="103"/>
        <v>991078.79530000011</v>
      </c>
      <c r="N225" s="35">
        <f t="shared" si="95"/>
        <v>221.60469999990892</v>
      </c>
      <c r="O225" s="66">
        <f t="shared" si="96"/>
        <v>99.977645050884689</v>
      </c>
      <c r="P225" s="35">
        <f t="shared" si="86"/>
        <v>192363.63400999992</v>
      </c>
      <c r="Q225" s="35">
        <f t="shared" si="90"/>
        <v>334.57068999996409</v>
      </c>
      <c r="R225" s="72">
        <v>1103739</v>
      </c>
      <c r="S225" s="72">
        <f t="shared" si="87"/>
        <v>468786.20469999989</v>
      </c>
      <c r="T225" s="62">
        <f t="shared" si="91"/>
        <v>276422.57068999996</v>
      </c>
    </row>
    <row r="226" spans="1:20" ht="63.75">
      <c r="A226" s="8"/>
      <c r="B226" s="12"/>
      <c r="C226" s="12" t="s">
        <v>23</v>
      </c>
      <c r="D226" s="11"/>
      <c r="E226" s="18"/>
      <c r="F226" s="139" t="s">
        <v>124</v>
      </c>
      <c r="G226" s="42">
        <f>G227</f>
        <v>1027596</v>
      </c>
      <c r="H226" s="42">
        <f t="shared" ref="H226:M226" si="104">H227</f>
        <v>786638</v>
      </c>
      <c r="I226" s="42">
        <f t="shared" si="104"/>
        <v>674664.4</v>
      </c>
      <c r="J226" s="60">
        <f t="shared" si="104"/>
        <v>786304.60978000006</v>
      </c>
      <c r="K226" s="29">
        <f>'1.02.'!M169</f>
        <v>48654.000999999997</v>
      </c>
      <c r="L226" s="29">
        <f t="shared" si="104"/>
        <v>82699.075859999997</v>
      </c>
      <c r="M226" s="29">
        <f t="shared" si="104"/>
        <v>674443.12615000014</v>
      </c>
      <c r="N226" s="35">
        <f t="shared" si="95"/>
        <v>221.27384999988135</v>
      </c>
      <c r="O226" s="66">
        <f t="shared" si="96"/>
        <v>99.967202382399321</v>
      </c>
      <c r="P226" s="71">
        <f>J226-M226</f>
        <v>111861.48362999992</v>
      </c>
      <c r="Q226" s="35">
        <f>H226-J226</f>
        <v>333.39021999994293</v>
      </c>
      <c r="R226" s="72">
        <v>1103740</v>
      </c>
      <c r="S226" s="72">
        <f t="shared" si="87"/>
        <v>353152.87384999986</v>
      </c>
      <c r="T226" s="62">
        <f t="shared" si="91"/>
        <v>241291.39021999994</v>
      </c>
    </row>
    <row r="227" spans="1:20">
      <c r="A227" s="9"/>
      <c r="B227" s="12"/>
      <c r="C227" s="12"/>
      <c r="D227" s="11" t="s">
        <v>7</v>
      </c>
      <c r="E227" s="97"/>
      <c r="F227" s="140" t="s">
        <v>85</v>
      </c>
      <c r="G227" s="98">
        <f t="shared" ref="G227:I227" si="105">SUM(G228:G246)</f>
        <v>1027596</v>
      </c>
      <c r="H227" s="98">
        <f t="shared" si="105"/>
        <v>786638</v>
      </c>
      <c r="I227" s="98">
        <f t="shared" si="105"/>
        <v>674664.4</v>
      </c>
      <c r="J227" s="32">
        <f>SUM(J228:J246)</f>
        <v>786304.60978000006</v>
      </c>
      <c r="K227" s="32">
        <f>SUM(K228:K246)</f>
        <v>591744.05028999993</v>
      </c>
      <c r="L227" s="32">
        <f t="shared" ref="L227:M227" si="106">SUM(L228:L246)</f>
        <v>82699.075859999997</v>
      </c>
      <c r="M227" s="32">
        <f t="shared" si="106"/>
        <v>674443.12615000014</v>
      </c>
      <c r="N227" s="35">
        <f t="shared" si="95"/>
        <v>221.27384999988135</v>
      </c>
      <c r="O227" s="68">
        <f t="shared" si="96"/>
        <v>99.967202382399321</v>
      </c>
      <c r="P227" s="71">
        <f t="shared" si="86"/>
        <v>111861.48362999992</v>
      </c>
      <c r="Q227" s="35">
        <f t="shared" si="90"/>
        <v>333.39021999994293</v>
      </c>
      <c r="R227" s="72">
        <v>1103741</v>
      </c>
      <c r="S227" s="72">
        <f t="shared" si="87"/>
        <v>353152.87384999986</v>
      </c>
      <c r="T227" s="62">
        <f t="shared" si="91"/>
        <v>241291.39021999994</v>
      </c>
    </row>
    <row r="228" spans="1:20">
      <c r="A228" s="9"/>
      <c r="B228" s="13"/>
      <c r="C228" s="13"/>
      <c r="D228" s="14"/>
      <c r="E228" s="20">
        <v>111</v>
      </c>
      <c r="F228" s="136" t="s">
        <v>86</v>
      </c>
      <c r="G228" s="37">
        <f>618499-385-534</f>
        <v>617580</v>
      </c>
      <c r="H228" s="37">
        <v>437081</v>
      </c>
      <c r="I228" s="37">
        <v>437081</v>
      </c>
      <c r="J228" s="75">
        <f>M228</f>
        <v>437077.27593</v>
      </c>
      <c r="K228" s="35">
        <f>'1.09'!M192</f>
        <v>392077.98392999999</v>
      </c>
      <c r="L228" s="35">
        <v>44999.292000000001</v>
      </c>
      <c r="M228" s="93">
        <f>K228+L228</f>
        <v>437077.27593</v>
      </c>
      <c r="N228" s="35">
        <f t="shared" si="95"/>
        <v>3.7240699999965727</v>
      </c>
      <c r="O228" s="70">
        <f t="shared" si="96"/>
        <v>99.999147967996777</v>
      </c>
      <c r="P228" s="71">
        <f t="shared" si="86"/>
        <v>0</v>
      </c>
      <c r="Q228" s="35">
        <f t="shared" si="90"/>
        <v>3.7240699999965727</v>
      </c>
      <c r="R228" s="72">
        <v>1103742</v>
      </c>
      <c r="S228" s="72">
        <f t="shared" si="87"/>
        <v>180502.72407</v>
      </c>
      <c r="T228" s="62">
        <f t="shared" si="91"/>
        <v>180502.72407</v>
      </c>
    </row>
    <row r="229" spans="1:20">
      <c r="A229" s="9"/>
      <c r="B229" s="13"/>
      <c r="C229" s="13"/>
      <c r="D229" s="14"/>
      <c r="E229" s="69">
        <v>112</v>
      </c>
      <c r="F229" s="136" t="s">
        <v>87</v>
      </c>
      <c r="G229" s="37">
        <f>308+308</f>
        <v>616</v>
      </c>
      <c r="H229" s="37">
        <v>616</v>
      </c>
      <c r="I229" s="37">
        <v>616</v>
      </c>
      <c r="J229" s="75">
        <f t="shared" ref="J229:J235" si="107">M229</f>
        <v>613.95100000000002</v>
      </c>
      <c r="K229" s="35">
        <f>'1.09'!M193</f>
        <v>613.95100000000002</v>
      </c>
      <c r="L229" s="35"/>
      <c r="M229" s="93">
        <f>K229+L229</f>
        <v>613.95100000000002</v>
      </c>
      <c r="N229" s="35">
        <f t="shared" si="95"/>
        <v>2.0489999999999782</v>
      </c>
      <c r="O229" s="70">
        <f t="shared" si="96"/>
        <v>99.667370129870136</v>
      </c>
      <c r="P229" s="71">
        <f t="shared" si="86"/>
        <v>0</v>
      </c>
      <c r="Q229" s="35">
        <f t="shared" si="90"/>
        <v>2.0489999999999782</v>
      </c>
      <c r="R229" s="72">
        <v>1103743</v>
      </c>
      <c r="S229" s="72">
        <f t="shared" si="87"/>
        <v>2.0489999999999782</v>
      </c>
    </row>
    <row r="230" spans="1:20">
      <c r="A230" s="9"/>
      <c r="B230" s="15"/>
      <c r="C230" s="15"/>
      <c r="D230" s="16"/>
      <c r="E230" s="20">
        <v>113</v>
      </c>
      <c r="F230" s="136" t="s">
        <v>88</v>
      </c>
      <c r="G230" s="37">
        <f>19771-308</f>
        <v>19463</v>
      </c>
      <c r="H230" s="37">
        <v>14167</v>
      </c>
      <c r="I230" s="37">
        <v>14167</v>
      </c>
      <c r="J230" s="75">
        <f t="shared" si="107"/>
        <v>14167</v>
      </c>
      <c r="K230" s="35">
        <f>'1.09'!M194</f>
        <v>13181</v>
      </c>
      <c r="L230" s="35">
        <v>986</v>
      </c>
      <c r="M230" s="93">
        <f t="shared" si="79"/>
        <v>14167</v>
      </c>
      <c r="N230" s="35">
        <f t="shared" si="95"/>
        <v>0</v>
      </c>
      <c r="O230" s="70">
        <f t="shared" si="96"/>
        <v>100</v>
      </c>
      <c r="P230" s="71">
        <f t="shared" si="86"/>
        <v>0</v>
      </c>
      <c r="Q230" s="35">
        <f t="shared" si="90"/>
        <v>0</v>
      </c>
      <c r="R230" s="72">
        <v>1103744</v>
      </c>
      <c r="S230" s="72">
        <f t="shared" si="87"/>
        <v>5296</v>
      </c>
      <c r="T230" s="62">
        <f t="shared" si="91"/>
        <v>5296</v>
      </c>
    </row>
    <row r="231" spans="1:20">
      <c r="A231" s="9"/>
      <c r="B231" s="15"/>
      <c r="C231" s="15"/>
      <c r="D231" s="16"/>
      <c r="E231" s="69">
        <v>116</v>
      </c>
      <c r="F231" s="136" t="s">
        <v>89</v>
      </c>
      <c r="G231" s="37">
        <f>10353+100+100</f>
        <v>10553</v>
      </c>
      <c r="H231" s="37">
        <v>8540</v>
      </c>
      <c r="I231" s="37">
        <v>8540</v>
      </c>
      <c r="J231" s="75">
        <f t="shared" si="107"/>
        <v>8530.6089999999986</v>
      </c>
      <c r="K231" s="35">
        <f>'1.09'!M195</f>
        <v>7578.6649999999991</v>
      </c>
      <c r="L231" s="35">
        <v>951.94399999999996</v>
      </c>
      <c r="M231" s="93">
        <f>K231+L231</f>
        <v>8530.6089999999986</v>
      </c>
      <c r="N231" s="35">
        <f t="shared" si="95"/>
        <v>9.3910000000014406</v>
      </c>
      <c r="O231" s="70">
        <f>M231/I231*100</f>
        <v>99.890035128805593</v>
      </c>
      <c r="P231" s="71">
        <f t="shared" si="86"/>
        <v>0</v>
      </c>
      <c r="Q231" s="35">
        <f t="shared" si="90"/>
        <v>9.3910000000014406</v>
      </c>
      <c r="R231" s="72">
        <v>1103745</v>
      </c>
      <c r="S231" s="72">
        <f t="shared" si="87"/>
        <v>2022.3910000000014</v>
      </c>
    </row>
    <row r="232" spans="1:20">
      <c r="A232" s="9"/>
      <c r="B232" s="15"/>
      <c r="C232" s="15"/>
      <c r="D232" s="16"/>
      <c r="E232" s="20">
        <v>121</v>
      </c>
      <c r="F232" s="136" t="s">
        <v>90</v>
      </c>
      <c r="G232" s="37">
        <f>32039+200+200+300+200</f>
        <v>32939</v>
      </c>
      <c r="H232" s="37">
        <v>24700</v>
      </c>
      <c r="I232" s="37">
        <v>24700</v>
      </c>
      <c r="J232" s="75">
        <f t="shared" si="107"/>
        <v>24700</v>
      </c>
      <c r="K232" s="35">
        <f>'1.09'!M196</f>
        <v>21800</v>
      </c>
      <c r="L232" s="35">
        <v>2900</v>
      </c>
      <c r="M232" s="93">
        <f>K232+L232</f>
        <v>24700</v>
      </c>
      <c r="N232" s="35">
        <f t="shared" si="95"/>
        <v>0</v>
      </c>
      <c r="O232" s="70">
        <f>M232/I232*100</f>
        <v>100</v>
      </c>
      <c r="P232" s="71">
        <f t="shared" si="86"/>
        <v>0</v>
      </c>
      <c r="Q232" s="35">
        <f t="shared" si="90"/>
        <v>0</v>
      </c>
      <c r="R232" s="72">
        <v>1103746</v>
      </c>
      <c r="S232" s="72">
        <f t="shared" si="87"/>
        <v>8239</v>
      </c>
      <c r="T232" s="62">
        <f t="shared" si="91"/>
        <v>8239</v>
      </c>
    </row>
    <row r="233" spans="1:20">
      <c r="A233" s="9"/>
      <c r="B233" s="15"/>
      <c r="C233" s="15"/>
      <c r="D233" s="16"/>
      <c r="E233" s="20">
        <v>122</v>
      </c>
      <c r="F233" s="136" t="s">
        <v>91</v>
      </c>
      <c r="G233" s="37">
        <f>27832-200-200-400-300</f>
        <v>26732</v>
      </c>
      <c r="H233" s="37">
        <v>18220</v>
      </c>
      <c r="I233" s="37">
        <v>18220</v>
      </c>
      <c r="J233" s="75">
        <f t="shared" si="107"/>
        <v>18084.899999999998</v>
      </c>
      <c r="K233" s="35">
        <f>'1.09'!M197</f>
        <v>16161.282999999999</v>
      </c>
      <c r="L233" s="35">
        <v>1923.617</v>
      </c>
      <c r="M233" s="93">
        <f t="shared" si="79"/>
        <v>18084.899999999998</v>
      </c>
      <c r="N233" s="35">
        <f t="shared" si="95"/>
        <v>135.10000000000218</v>
      </c>
      <c r="O233" s="70">
        <f t="shared" si="96"/>
        <v>99.258507135016444</v>
      </c>
      <c r="P233" s="71">
        <f t="shared" si="86"/>
        <v>0</v>
      </c>
      <c r="Q233" s="35">
        <f t="shared" si="90"/>
        <v>135.10000000000218</v>
      </c>
      <c r="R233" s="72">
        <v>1103747</v>
      </c>
      <c r="S233" s="72">
        <f t="shared" si="87"/>
        <v>8647.1000000000022</v>
      </c>
      <c r="T233" s="62">
        <f t="shared" si="91"/>
        <v>8647.1000000000022</v>
      </c>
    </row>
    <row r="234" spans="1:20">
      <c r="A234" s="9"/>
      <c r="B234" s="15"/>
      <c r="C234" s="15"/>
      <c r="D234" s="16"/>
      <c r="E234" s="20">
        <v>123</v>
      </c>
      <c r="F234" s="136" t="s">
        <v>92</v>
      </c>
      <c r="G234" s="37">
        <f>168+34</f>
        <v>202</v>
      </c>
      <c r="H234" s="37">
        <v>202</v>
      </c>
      <c r="I234" s="37">
        <v>202</v>
      </c>
      <c r="J234" s="75">
        <f t="shared" si="107"/>
        <v>201.94200000000001</v>
      </c>
      <c r="K234" s="35">
        <f>'1.09'!M198</f>
        <v>201.94200000000001</v>
      </c>
      <c r="L234" s="35"/>
      <c r="M234" s="93">
        <f t="shared" si="79"/>
        <v>201.94200000000001</v>
      </c>
      <c r="N234" s="35">
        <f t="shared" si="95"/>
        <v>5.7999999999992724E-2</v>
      </c>
      <c r="O234" s="70">
        <f t="shared" si="96"/>
        <v>99.971287128712873</v>
      </c>
      <c r="P234" s="71">
        <f t="shared" si="86"/>
        <v>0</v>
      </c>
      <c r="Q234" s="35">
        <f t="shared" si="90"/>
        <v>5.7999999999992724E-2</v>
      </c>
      <c r="R234" s="72">
        <v>1103748</v>
      </c>
      <c r="S234" s="72">
        <f t="shared" si="87"/>
        <v>5.7999999999992724E-2</v>
      </c>
      <c r="T234" s="62">
        <f t="shared" si="91"/>
        <v>5.7999999999992724E-2</v>
      </c>
    </row>
    <row r="235" spans="1:20">
      <c r="A235" s="9"/>
      <c r="B235" s="15"/>
      <c r="C235" s="15"/>
      <c r="D235" s="16"/>
      <c r="E235" s="20">
        <v>124</v>
      </c>
      <c r="F235" s="136" t="s">
        <v>93</v>
      </c>
      <c r="G235" s="37">
        <f>15607-58-326</f>
        <v>15223</v>
      </c>
      <c r="H235" s="37">
        <v>10124</v>
      </c>
      <c r="I235" s="37">
        <v>10124</v>
      </c>
      <c r="J235" s="75">
        <f t="shared" si="107"/>
        <v>10124</v>
      </c>
      <c r="K235" s="35">
        <f>'1.09'!M199</f>
        <v>9019.0499999999993</v>
      </c>
      <c r="L235" s="35">
        <v>1104.95</v>
      </c>
      <c r="M235" s="93">
        <f t="shared" si="79"/>
        <v>10124</v>
      </c>
      <c r="N235" s="35">
        <f t="shared" si="95"/>
        <v>0</v>
      </c>
      <c r="O235" s="70">
        <f t="shared" si="96"/>
        <v>100</v>
      </c>
      <c r="P235" s="71">
        <f t="shared" si="86"/>
        <v>0</v>
      </c>
      <c r="Q235" s="35">
        <f t="shared" si="90"/>
        <v>0</v>
      </c>
      <c r="R235" s="72">
        <v>1103749</v>
      </c>
      <c r="S235" s="72">
        <f t="shared" si="87"/>
        <v>5099</v>
      </c>
      <c r="T235" s="62">
        <f t="shared" si="91"/>
        <v>5099</v>
      </c>
    </row>
    <row r="236" spans="1:20" s="73" customFormat="1">
      <c r="A236" s="9"/>
      <c r="B236" s="15"/>
      <c r="C236" s="15"/>
      <c r="D236" s="16"/>
      <c r="E236" s="20">
        <v>141</v>
      </c>
      <c r="F236" s="136" t="s">
        <v>116</v>
      </c>
      <c r="G236" s="37">
        <f>170896-249-5095+30531-1195</f>
        <v>194888</v>
      </c>
      <c r="H236" s="37">
        <v>194888</v>
      </c>
      <c r="I236" s="37">
        <v>102751</v>
      </c>
      <c r="J236" s="75">
        <v>194887.25779</v>
      </c>
      <c r="K236" s="35">
        <f>'1.09'!M200</f>
        <v>87751</v>
      </c>
      <c r="L236" s="35">
        <v>15000</v>
      </c>
      <c r="M236" s="93">
        <f t="shared" si="79"/>
        <v>102751</v>
      </c>
      <c r="N236" s="35">
        <f t="shared" si="95"/>
        <v>0</v>
      </c>
      <c r="O236" s="70">
        <f t="shared" si="96"/>
        <v>100</v>
      </c>
      <c r="P236" s="71">
        <f t="shared" si="86"/>
        <v>92136.257790000003</v>
      </c>
      <c r="Q236" s="35">
        <f t="shared" si="90"/>
        <v>0.74220999999670312</v>
      </c>
      <c r="R236" s="72">
        <v>1103750</v>
      </c>
      <c r="S236" s="72">
        <f t="shared" si="87"/>
        <v>92137</v>
      </c>
      <c r="T236" s="62">
        <f t="shared" si="91"/>
        <v>0.74220999999670312</v>
      </c>
    </row>
    <row r="237" spans="1:20" s="73" customFormat="1" ht="25.5">
      <c r="A237" s="9"/>
      <c r="B237" s="15"/>
      <c r="C237" s="15"/>
      <c r="D237" s="16"/>
      <c r="E237" s="20">
        <v>142</v>
      </c>
      <c r="F237" s="136" t="s">
        <v>122</v>
      </c>
      <c r="G237" s="37">
        <f>5095+45698</f>
        <v>50793</v>
      </c>
      <c r="H237" s="37">
        <v>30285</v>
      </c>
      <c r="I237" s="37">
        <v>14474</v>
      </c>
      <c r="J237" s="75">
        <v>30281.00733</v>
      </c>
      <c r="K237" s="35">
        <f>'1.09'!M201</f>
        <v>3916.9997499999999</v>
      </c>
      <c r="L237" s="35">
        <v>10557.000249999999</v>
      </c>
      <c r="M237" s="93">
        <f t="shared" si="79"/>
        <v>14474</v>
      </c>
      <c r="N237" s="35">
        <f t="shared" si="95"/>
        <v>0</v>
      </c>
      <c r="O237" s="70">
        <f t="shared" si="96"/>
        <v>100</v>
      </c>
      <c r="P237" s="71">
        <f t="shared" si="86"/>
        <v>15807.00733</v>
      </c>
      <c r="Q237" s="35">
        <f t="shared" si="90"/>
        <v>3.9926699999996345</v>
      </c>
      <c r="R237" s="72">
        <v>1103751</v>
      </c>
      <c r="S237" s="72">
        <f t="shared" si="87"/>
        <v>36319</v>
      </c>
      <c r="T237" s="62"/>
    </row>
    <row r="238" spans="1:20">
      <c r="A238" s="9"/>
      <c r="B238" s="15"/>
      <c r="C238" s="15"/>
      <c r="D238" s="16"/>
      <c r="E238" s="20">
        <v>144</v>
      </c>
      <c r="F238" s="136" t="s">
        <v>97</v>
      </c>
      <c r="G238" s="37">
        <v>4041</v>
      </c>
      <c r="H238" s="37">
        <v>3481</v>
      </c>
      <c r="I238" s="37">
        <v>3481</v>
      </c>
      <c r="J238" s="75">
        <v>3480.2807299999999</v>
      </c>
      <c r="K238" s="35">
        <f>'1.09'!M202</f>
        <v>3480.2807299999999</v>
      </c>
      <c r="L238" s="35"/>
      <c r="M238" s="93">
        <f t="shared" si="79"/>
        <v>3480.2807299999999</v>
      </c>
      <c r="N238" s="35">
        <f t="shared" si="95"/>
        <v>0.71927000000005137</v>
      </c>
      <c r="O238" s="70">
        <f t="shared" si="96"/>
        <v>99.979337259408226</v>
      </c>
      <c r="P238" s="71">
        <f t="shared" si="86"/>
        <v>0</v>
      </c>
      <c r="Q238" s="35">
        <f t="shared" si="90"/>
        <v>0.71927000000005137</v>
      </c>
      <c r="R238" s="72">
        <v>1103751</v>
      </c>
      <c r="S238" s="72">
        <f t="shared" si="87"/>
        <v>560.71927000000005</v>
      </c>
      <c r="T238" s="62">
        <f t="shared" si="91"/>
        <v>560.71927000000005</v>
      </c>
    </row>
    <row r="239" spans="1:20">
      <c r="A239" s="100"/>
      <c r="B239" s="15"/>
      <c r="C239" s="15"/>
      <c r="D239" s="16"/>
      <c r="E239" s="20">
        <v>149</v>
      </c>
      <c r="F239" s="136" t="s">
        <v>98</v>
      </c>
      <c r="G239" s="37">
        <f>3715-434-155+3420</f>
        <v>6546</v>
      </c>
      <c r="H239" s="37">
        <v>2963</v>
      </c>
      <c r="I239" s="37">
        <v>2655.6</v>
      </c>
      <c r="J239" s="75">
        <v>2962.9535999999998</v>
      </c>
      <c r="K239" s="35">
        <f>'1.09'!M203</f>
        <v>2601.58</v>
      </c>
      <c r="L239" s="35">
        <v>54.02</v>
      </c>
      <c r="M239" s="93">
        <f t="shared" si="79"/>
        <v>2655.6</v>
      </c>
      <c r="N239" s="35">
        <f t="shared" si="95"/>
        <v>0</v>
      </c>
      <c r="O239" s="70">
        <f t="shared" si="96"/>
        <v>100</v>
      </c>
      <c r="P239" s="71">
        <f t="shared" si="86"/>
        <v>307.35359999999991</v>
      </c>
      <c r="Q239" s="35">
        <f t="shared" si="90"/>
        <v>4.6400000000176078E-2</v>
      </c>
      <c r="R239" s="72">
        <v>1103752</v>
      </c>
      <c r="S239" s="72">
        <f t="shared" si="87"/>
        <v>3890.4</v>
      </c>
      <c r="T239" s="62">
        <f t="shared" si="91"/>
        <v>3583.0464000000002</v>
      </c>
    </row>
    <row r="240" spans="1:20">
      <c r="A240" s="100"/>
      <c r="B240" s="15"/>
      <c r="C240" s="15"/>
      <c r="D240" s="16"/>
      <c r="E240" s="20">
        <v>151</v>
      </c>
      <c r="F240" s="136" t="s">
        <v>99</v>
      </c>
      <c r="G240" s="37">
        <v>35085</v>
      </c>
      <c r="H240" s="37">
        <v>28500</v>
      </c>
      <c r="I240" s="37">
        <v>28500</v>
      </c>
      <c r="J240" s="75">
        <f>M240</f>
        <v>28500</v>
      </c>
      <c r="K240" s="35">
        <f>'1.09'!M204</f>
        <v>25900</v>
      </c>
      <c r="L240" s="35">
        <v>2600</v>
      </c>
      <c r="M240" s="93">
        <f t="shared" ref="M240:M246" si="108">K240+L240</f>
        <v>28500</v>
      </c>
      <c r="N240" s="35">
        <f t="shared" si="95"/>
        <v>0</v>
      </c>
      <c r="O240" s="70">
        <f t="shared" si="96"/>
        <v>100</v>
      </c>
      <c r="P240" s="71">
        <f t="shared" si="86"/>
        <v>0</v>
      </c>
      <c r="Q240" s="35">
        <f t="shared" si="90"/>
        <v>0</v>
      </c>
      <c r="R240" s="72">
        <v>1103753</v>
      </c>
      <c r="S240" s="72">
        <f t="shared" si="87"/>
        <v>6585</v>
      </c>
      <c r="T240" s="62">
        <f t="shared" si="91"/>
        <v>6585</v>
      </c>
    </row>
    <row r="241" spans="1:20">
      <c r="A241" s="100"/>
      <c r="B241" s="15"/>
      <c r="C241" s="15"/>
      <c r="D241" s="16"/>
      <c r="E241" s="20">
        <v>152</v>
      </c>
      <c r="F241" s="136" t="s">
        <v>100</v>
      </c>
      <c r="G241" s="37">
        <v>1374</v>
      </c>
      <c r="H241" s="37">
        <v>1374</v>
      </c>
      <c r="I241" s="37">
        <v>598</v>
      </c>
      <c r="J241" s="75">
        <v>1373.87772</v>
      </c>
      <c r="K241" s="35">
        <f>'1.09'!M205</f>
        <v>470.69738999999998</v>
      </c>
      <c r="L241" s="35">
        <v>127.30261</v>
      </c>
      <c r="M241" s="93">
        <f t="shared" si="108"/>
        <v>598</v>
      </c>
      <c r="N241" s="35">
        <f t="shared" si="95"/>
        <v>0</v>
      </c>
      <c r="O241" s="70">
        <f t="shared" si="96"/>
        <v>100</v>
      </c>
      <c r="P241" s="71">
        <f t="shared" si="86"/>
        <v>775.87771999999995</v>
      </c>
      <c r="Q241" s="35">
        <f t="shared" si="90"/>
        <v>0.12228000000004613</v>
      </c>
      <c r="R241" s="72">
        <v>1103754</v>
      </c>
      <c r="S241" s="72">
        <f t="shared" si="87"/>
        <v>776</v>
      </c>
      <c r="T241" s="62">
        <f t="shared" si="91"/>
        <v>0.12228000000004613</v>
      </c>
    </row>
    <row r="242" spans="1:20">
      <c r="A242" s="100"/>
      <c r="B242" s="15"/>
      <c r="C242" s="15"/>
      <c r="D242" s="16"/>
      <c r="E242" s="20">
        <v>158</v>
      </c>
      <c r="F242" s="136" t="s">
        <v>101</v>
      </c>
      <c r="G242" s="37">
        <f>730+2332-616-608</f>
        <v>1838</v>
      </c>
      <c r="H242" s="37">
        <v>1838</v>
      </c>
      <c r="I242" s="37">
        <v>1436.8</v>
      </c>
      <c r="J242" s="75">
        <v>1837.8155999999999</v>
      </c>
      <c r="K242" s="35">
        <f>'1.09'!M206</f>
        <v>1369.5078000000001</v>
      </c>
      <c r="L242" s="35">
        <v>61</v>
      </c>
      <c r="M242" s="93">
        <f t="shared" si="108"/>
        <v>1430.5078000000001</v>
      </c>
      <c r="N242" s="35">
        <f t="shared" si="95"/>
        <v>6.2921999999998661</v>
      </c>
      <c r="O242" s="70">
        <f t="shared" si="96"/>
        <v>99.562068485523397</v>
      </c>
      <c r="P242" s="71">
        <f t="shared" si="86"/>
        <v>407.30779999999982</v>
      </c>
      <c r="Q242" s="35">
        <f t="shared" si="90"/>
        <v>0.18440000000009604</v>
      </c>
      <c r="R242" s="72">
        <v>1103755</v>
      </c>
      <c r="S242" s="72">
        <f t="shared" si="87"/>
        <v>407.49219999999991</v>
      </c>
      <c r="T242" s="62">
        <f t="shared" si="91"/>
        <v>0.18440000000009604</v>
      </c>
    </row>
    <row r="243" spans="1:20">
      <c r="A243" s="100"/>
      <c r="B243" s="15"/>
      <c r="C243" s="15"/>
      <c r="D243" s="16"/>
      <c r="E243" s="20">
        <v>159</v>
      </c>
      <c r="F243" s="136" t="s">
        <v>84</v>
      </c>
      <c r="G243" s="37">
        <f>7434-2332+425+1105</f>
        <v>6632</v>
      </c>
      <c r="H243" s="37">
        <v>6584</v>
      </c>
      <c r="I243" s="37">
        <v>4043</v>
      </c>
      <c r="J243" s="75">
        <v>6470.6793900000002</v>
      </c>
      <c r="K243" s="35">
        <f>'1.09'!M207</f>
        <v>2638</v>
      </c>
      <c r="L243" s="35">
        <v>1405</v>
      </c>
      <c r="M243" s="93">
        <f t="shared" si="108"/>
        <v>4043</v>
      </c>
      <c r="N243" s="35">
        <f t="shared" si="95"/>
        <v>0</v>
      </c>
      <c r="O243" s="70">
        <f t="shared" si="96"/>
        <v>100</v>
      </c>
      <c r="P243" s="71">
        <f t="shared" si="86"/>
        <v>2427.6793900000002</v>
      </c>
      <c r="Q243" s="35">
        <f t="shared" si="90"/>
        <v>113.32060999999976</v>
      </c>
      <c r="R243" s="72">
        <v>1103756</v>
      </c>
      <c r="S243" s="72">
        <f t="shared" si="87"/>
        <v>2589</v>
      </c>
      <c r="T243" s="62">
        <f t="shared" si="91"/>
        <v>161.32060999999976</v>
      </c>
    </row>
    <row r="244" spans="1:20">
      <c r="A244" s="100"/>
      <c r="B244" s="15"/>
      <c r="C244" s="15"/>
      <c r="D244" s="16"/>
      <c r="E244" s="69">
        <v>161</v>
      </c>
      <c r="F244" s="136" t="s">
        <v>102</v>
      </c>
      <c r="G244" s="37">
        <f>58+77+270+534+28</f>
        <v>967</v>
      </c>
      <c r="H244" s="37">
        <v>967</v>
      </c>
      <c r="I244" s="37">
        <v>967</v>
      </c>
      <c r="J244" s="75">
        <f t="shared" ref="J244:J246" si="109">M244</f>
        <v>966.80000000000018</v>
      </c>
      <c r="K244" s="35">
        <f>'1.09'!M208</f>
        <v>937.85000000000014</v>
      </c>
      <c r="L244" s="35">
        <v>28.95</v>
      </c>
      <c r="M244" s="93">
        <f t="shared" si="108"/>
        <v>966.80000000000018</v>
      </c>
      <c r="N244" s="35">
        <f t="shared" si="95"/>
        <v>0.1999999999998181</v>
      </c>
      <c r="O244" s="70">
        <f t="shared" si="96"/>
        <v>99.979317476732177</v>
      </c>
      <c r="P244" s="71">
        <f t="shared" si="86"/>
        <v>0</v>
      </c>
      <c r="Q244" s="35">
        <f t="shared" si="90"/>
        <v>0.1999999999998181</v>
      </c>
      <c r="R244" s="72">
        <v>1103757</v>
      </c>
      <c r="S244" s="72">
        <f t="shared" si="87"/>
        <v>0.1999999999998181</v>
      </c>
      <c r="T244" s="62">
        <f t="shared" si="91"/>
        <v>0.1999999999998181</v>
      </c>
    </row>
    <row r="245" spans="1:20">
      <c r="A245" s="100"/>
      <c r="B245" s="15"/>
      <c r="C245" s="15"/>
      <c r="D245" s="16"/>
      <c r="E245" s="69">
        <v>168</v>
      </c>
      <c r="F245" s="136" t="s">
        <v>167</v>
      </c>
      <c r="G245" s="37">
        <f>1+56+62</f>
        <v>119</v>
      </c>
      <c r="H245" s="37">
        <v>119</v>
      </c>
      <c r="I245" s="37">
        <v>119</v>
      </c>
      <c r="J245" s="75">
        <f t="shared" si="109"/>
        <v>56.037739999999999</v>
      </c>
      <c r="K245" s="35">
        <f>'1.09'!M209</f>
        <v>56.037739999999999</v>
      </c>
      <c r="L245" s="35"/>
      <c r="M245" s="93">
        <f t="shared" si="108"/>
        <v>56.037739999999999</v>
      </c>
      <c r="N245" s="35">
        <f t="shared" si="95"/>
        <v>62.962260000000001</v>
      </c>
      <c r="O245" s="70">
        <f t="shared" si="96"/>
        <v>47.090537815126048</v>
      </c>
      <c r="P245" s="71"/>
      <c r="Q245" s="35">
        <f t="shared" si="90"/>
        <v>62.962260000000001</v>
      </c>
      <c r="R245" s="72"/>
      <c r="S245" s="72"/>
    </row>
    <row r="246" spans="1:20">
      <c r="A246" s="100"/>
      <c r="B246" s="15"/>
      <c r="C246" s="15"/>
      <c r="D246" s="16"/>
      <c r="E246" s="20">
        <v>169</v>
      </c>
      <c r="F246" s="136" t="s">
        <v>103</v>
      </c>
      <c r="G246" s="37">
        <f>652+400+154+616+183</f>
        <v>2005</v>
      </c>
      <c r="H246" s="37">
        <v>1989</v>
      </c>
      <c r="I246" s="37">
        <v>1989</v>
      </c>
      <c r="J246" s="75">
        <f t="shared" si="109"/>
        <v>1988.2219500000001</v>
      </c>
      <c r="K246" s="35">
        <f>'1.09'!M210</f>
        <v>1988.2219500000001</v>
      </c>
      <c r="L246" s="35"/>
      <c r="M246" s="93">
        <f t="shared" si="108"/>
        <v>1988.2219500000001</v>
      </c>
      <c r="N246" s="35">
        <f t="shared" si="95"/>
        <v>0.77804999999989377</v>
      </c>
      <c r="O246" s="70">
        <f t="shared" si="96"/>
        <v>99.960882352941184</v>
      </c>
      <c r="P246" s="71">
        <f t="shared" si="86"/>
        <v>0</v>
      </c>
      <c r="Q246" s="35">
        <f t="shared" si="90"/>
        <v>0.77804999999989377</v>
      </c>
      <c r="R246" s="72">
        <v>1103758</v>
      </c>
      <c r="S246" s="72">
        <f t="shared" si="87"/>
        <v>16.778049999999894</v>
      </c>
      <c r="T246" s="62">
        <f t="shared" si="91"/>
        <v>16.778049999999894</v>
      </c>
    </row>
    <row r="247" spans="1:20" ht="25.5">
      <c r="A247" s="100"/>
      <c r="B247" s="15"/>
      <c r="C247" s="57" t="s">
        <v>43</v>
      </c>
      <c r="D247" s="16"/>
      <c r="E247" s="20"/>
      <c r="F247" s="139" t="s">
        <v>119</v>
      </c>
      <c r="G247" s="59">
        <f t="shared" ref="G247:M247" si="110">G248</f>
        <v>432269</v>
      </c>
      <c r="H247" s="59">
        <f t="shared" si="110"/>
        <v>397139</v>
      </c>
      <c r="I247" s="59">
        <f t="shared" si="110"/>
        <v>316636</v>
      </c>
      <c r="J247" s="29">
        <f t="shared" si="110"/>
        <v>397137.81952999998</v>
      </c>
      <c r="K247" s="29">
        <f t="shared" si="110"/>
        <v>314841.18848000001</v>
      </c>
      <c r="L247" s="59">
        <f t="shared" si="110"/>
        <v>1794.4806699999999</v>
      </c>
      <c r="M247" s="29">
        <f t="shared" si="110"/>
        <v>316635.66915000003</v>
      </c>
      <c r="N247" s="35">
        <f t="shared" si="95"/>
        <v>0.33084999996935949</v>
      </c>
      <c r="O247" s="70"/>
      <c r="P247" s="71">
        <f t="shared" si="86"/>
        <v>80502.150379999948</v>
      </c>
      <c r="Q247" s="35">
        <f t="shared" si="90"/>
        <v>1.1804700000211596</v>
      </c>
      <c r="R247" s="72">
        <v>1103759</v>
      </c>
      <c r="S247" s="72">
        <f t="shared" si="87"/>
        <v>115633.33084999997</v>
      </c>
    </row>
    <row r="248" spans="1:20">
      <c r="A248" s="9"/>
      <c r="B248" s="12"/>
      <c r="C248" s="12"/>
      <c r="D248" s="11" t="s">
        <v>7</v>
      </c>
      <c r="E248" s="97"/>
      <c r="F248" s="122" t="s">
        <v>85</v>
      </c>
      <c r="G248" s="98">
        <f>G249+G250</f>
        <v>432269</v>
      </c>
      <c r="H248" s="98">
        <f t="shared" ref="H248:M248" si="111">H249+H250</f>
        <v>397139</v>
      </c>
      <c r="I248" s="98">
        <f t="shared" si="111"/>
        <v>316636</v>
      </c>
      <c r="J248" s="99">
        <f t="shared" si="111"/>
        <v>397137.81952999998</v>
      </c>
      <c r="K248" s="99">
        <f t="shared" si="111"/>
        <v>314841.18848000001</v>
      </c>
      <c r="L248" s="98">
        <f t="shared" si="111"/>
        <v>1794.4806699999999</v>
      </c>
      <c r="M248" s="32">
        <f t="shared" si="111"/>
        <v>316635.66915000003</v>
      </c>
      <c r="N248" s="35">
        <f t="shared" si="95"/>
        <v>0.33084999996935949</v>
      </c>
      <c r="O248" s="68">
        <f>M248/I248*100</f>
        <v>99.999895510933698</v>
      </c>
      <c r="P248" s="71">
        <f t="shared" si="86"/>
        <v>80502.150379999948</v>
      </c>
      <c r="Q248" s="35">
        <f t="shared" si="90"/>
        <v>1.1804700000211596</v>
      </c>
      <c r="R248" s="72">
        <v>1103760</v>
      </c>
      <c r="S248" s="72">
        <f t="shared" si="87"/>
        <v>115633.33084999997</v>
      </c>
      <c r="T248" s="62">
        <f>G248-J248</f>
        <v>35131.180470000021</v>
      </c>
    </row>
    <row r="249" spans="1:20" ht="25.5">
      <c r="A249" s="100"/>
      <c r="B249" s="15"/>
      <c r="C249" s="15"/>
      <c r="D249" s="16"/>
      <c r="E249" s="20">
        <v>414</v>
      </c>
      <c r="F249" s="50" t="s">
        <v>105</v>
      </c>
      <c r="G249" s="37">
        <v>55959</v>
      </c>
      <c r="H249" s="37">
        <v>20829</v>
      </c>
      <c r="I249" s="37"/>
      <c r="J249" s="75">
        <v>20828.673999999999</v>
      </c>
      <c r="K249" s="35">
        <f>'1.09'!M213</f>
        <v>0</v>
      </c>
      <c r="L249" s="35"/>
      <c r="M249" s="93">
        <f t="shared" ref="M249:M250" si="112">K249+L249</f>
        <v>0</v>
      </c>
      <c r="N249" s="35">
        <f t="shared" si="95"/>
        <v>0</v>
      </c>
      <c r="O249" s="70" t="e">
        <f t="shared" ref="O249:O250" si="113">M249/I249*100</f>
        <v>#DIV/0!</v>
      </c>
      <c r="P249" s="71">
        <f t="shared" si="86"/>
        <v>20828.673999999999</v>
      </c>
      <c r="Q249" s="35">
        <f t="shared" si="90"/>
        <v>0.32600000000093132</v>
      </c>
      <c r="R249" s="72">
        <v>1103761</v>
      </c>
      <c r="S249" s="72">
        <f t="shared" si="87"/>
        <v>55959</v>
      </c>
    </row>
    <row r="250" spans="1:20" ht="25.5">
      <c r="A250" s="100"/>
      <c r="B250" s="15"/>
      <c r="C250" s="15"/>
      <c r="D250" s="16"/>
      <c r="E250" s="20">
        <v>421</v>
      </c>
      <c r="F250" s="136" t="s">
        <v>156</v>
      </c>
      <c r="G250" s="37">
        <f>350929+25381</f>
        <v>376310</v>
      </c>
      <c r="H250" s="37">
        <v>376310</v>
      </c>
      <c r="I250" s="37">
        <v>316636</v>
      </c>
      <c r="J250" s="75">
        <v>376309.14552999998</v>
      </c>
      <c r="K250" s="35">
        <f>'1.09'!M214</f>
        <v>314841.18848000001</v>
      </c>
      <c r="L250" s="35">
        <v>1794.4806699999999</v>
      </c>
      <c r="M250" s="93">
        <f t="shared" si="112"/>
        <v>316635.66915000003</v>
      </c>
      <c r="N250" s="35">
        <f t="shared" si="95"/>
        <v>0.33084999996935949</v>
      </c>
      <c r="O250" s="70">
        <f t="shared" si="113"/>
        <v>99.999895510933698</v>
      </c>
      <c r="P250" s="71">
        <f t="shared" si="86"/>
        <v>59673.476379999949</v>
      </c>
      <c r="Q250" s="35">
        <f t="shared" si="90"/>
        <v>0.85447000002022833</v>
      </c>
      <c r="R250" s="72">
        <v>1103762</v>
      </c>
      <c r="S250" s="72">
        <f t="shared" si="87"/>
        <v>59674.330849999969</v>
      </c>
    </row>
    <row r="251" spans="1:20" s="126" customFormat="1">
      <c r="A251" s="100"/>
      <c r="B251" s="8" t="s">
        <v>20</v>
      </c>
      <c r="C251" s="8"/>
      <c r="D251" s="21"/>
      <c r="E251" s="21"/>
      <c r="F251" s="139" t="s">
        <v>125</v>
      </c>
      <c r="G251" s="59">
        <f>G252+G272</f>
        <v>636935</v>
      </c>
      <c r="H251" s="59">
        <f t="shared" ref="H251:M251" si="114">H252+H272</f>
        <v>473781</v>
      </c>
      <c r="I251" s="59">
        <f t="shared" si="114"/>
        <v>428517.30000000005</v>
      </c>
      <c r="J251" s="29">
        <f t="shared" si="114"/>
        <v>465847.69402000005</v>
      </c>
      <c r="K251" s="29">
        <f t="shared" si="114"/>
        <v>380921.32043999998</v>
      </c>
      <c r="L251" s="29">
        <f t="shared" si="114"/>
        <v>46947.562559999998</v>
      </c>
      <c r="M251" s="29">
        <f t="shared" si="114"/>
        <v>427868.88300000009</v>
      </c>
      <c r="N251" s="35">
        <f t="shared" si="95"/>
        <v>648.41699999995762</v>
      </c>
      <c r="O251" s="68">
        <f t="shared" si="96"/>
        <v>99.848683588737259</v>
      </c>
      <c r="P251" s="71">
        <f t="shared" si="86"/>
        <v>37978.811019999965</v>
      </c>
      <c r="Q251" s="35">
        <f t="shared" si="90"/>
        <v>7933.3059799999464</v>
      </c>
      <c r="R251" s="72">
        <v>1103763</v>
      </c>
      <c r="S251" s="72">
        <f t="shared" si="87"/>
        <v>209066.11699999991</v>
      </c>
      <c r="T251" s="87">
        <f>G251-J251</f>
        <v>171087.30597999995</v>
      </c>
    </row>
    <row r="252" spans="1:20" s="95" customFormat="1" ht="63.75">
      <c r="A252" s="100"/>
      <c r="B252" s="8"/>
      <c r="C252" s="17" t="s">
        <v>23</v>
      </c>
      <c r="D252" s="17"/>
      <c r="E252" s="21"/>
      <c r="F252" s="139" t="s">
        <v>124</v>
      </c>
      <c r="G252" s="59">
        <f>G253</f>
        <v>636935</v>
      </c>
      <c r="H252" s="59">
        <f t="shared" ref="H252:M252" si="115">H253</f>
        <v>473781</v>
      </c>
      <c r="I252" s="59">
        <f t="shared" si="115"/>
        <v>428517.30000000005</v>
      </c>
      <c r="J252" s="59">
        <f t="shared" si="115"/>
        <v>465847.69402000005</v>
      </c>
      <c r="K252" s="29">
        <f t="shared" si="115"/>
        <v>380921.32043999998</v>
      </c>
      <c r="L252" s="29">
        <f t="shared" si="115"/>
        <v>46947.562559999998</v>
      </c>
      <c r="M252" s="29">
        <f t="shared" si="115"/>
        <v>427868.88300000009</v>
      </c>
      <c r="N252" s="35">
        <f t="shared" si="95"/>
        <v>648.41699999995762</v>
      </c>
      <c r="O252" s="68">
        <f t="shared" si="96"/>
        <v>99.848683588737259</v>
      </c>
      <c r="P252" s="71">
        <f t="shared" si="86"/>
        <v>37978.811019999965</v>
      </c>
      <c r="Q252" s="35">
        <f t="shared" si="90"/>
        <v>7933.3059799999464</v>
      </c>
      <c r="R252" s="72">
        <v>1103764</v>
      </c>
      <c r="S252" s="72">
        <f t="shared" si="87"/>
        <v>209066.11699999991</v>
      </c>
      <c r="T252" s="62">
        <f t="shared" si="91"/>
        <v>171087.30597999995</v>
      </c>
    </row>
    <row r="253" spans="1:20">
      <c r="A253" s="100"/>
      <c r="B253" s="8"/>
      <c r="C253" s="17"/>
      <c r="D253" s="17" t="s">
        <v>7</v>
      </c>
      <c r="E253" s="10"/>
      <c r="F253" s="140" t="s">
        <v>85</v>
      </c>
      <c r="G253" s="59">
        <f>SUM(G254:G271)</f>
        <v>636935</v>
      </c>
      <c r="H253" s="59">
        <f>SUM(H254:H271)</f>
        <v>473781</v>
      </c>
      <c r="I253" s="59">
        <f>SUM(I254:I271)</f>
        <v>428517.30000000005</v>
      </c>
      <c r="J253" s="29">
        <f>SUM(J254:J271)</f>
        <v>465847.69402000005</v>
      </c>
      <c r="K253" s="29">
        <f>SUM(K254:K271)</f>
        <v>380921.32043999998</v>
      </c>
      <c r="L253" s="29">
        <f t="shared" ref="L253" si="116">SUM(L254:L271)</f>
        <v>46947.562559999998</v>
      </c>
      <c r="M253" s="29">
        <f>SUM(M254:M271)</f>
        <v>427868.88300000009</v>
      </c>
      <c r="N253" s="35">
        <f t="shared" si="95"/>
        <v>648.41699999995762</v>
      </c>
      <c r="O253" s="68">
        <f>M253/I253*100</f>
        <v>99.848683588737259</v>
      </c>
      <c r="P253" s="71">
        <f t="shared" si="86"/>
        <v>37978.811019999965</v>
      </c>
      <c r="Q253" s="35">
        <f t="shared" si="90"/>
        <v>7933.3059799999464</v>
      </c>
      <c r="R253" s="72">
        <v>1103765</v>
      </c>
      <c r="S253" s="72">
        <f t="shared" si="87"/>
        <v>209066.11699999991</v>
      </c>
      <c r="T253" s="62">
        <f t="shared" si="91"/>
        <v>171087.30597999995</v>
      </c>
    </row>
    <row r="254" spans="1:20">
      <c r="A254" s="100"/>
      <c r="B254" s="9"/>
      <c r="C254" s="9"/>
      <c r="D254" s="69"/>
      <c r="E254" s="69">
        <v>111</v>
      </c>
      <c r="F254" s="136" t="s">
        <v>86</v>
      </c>
      <c r="G254" s="26">
        <f>367447-355</f>
        <v>367092</v>
      </c>
      <c r="H254" s="26">
        <v>278681</v>
      </c>
      <c r="I254" s="26">
        <v>278681</v>
      </c>
      <c r="J254" s="27">
        <f>M254</f>
        <v>278668.64799999999</v>
      </c>
      <c r="K254" s="35">
        <f>'1.09'!M218</f>
        <v>246730.845</v>
      </c>
      <c r="L254" s="27">
        <v>31937.803</v>
      </c>
      <c r="M254" s="93">
        <f>K254+L254</f>
        <v>278668.64799999999</v>
      </c>
      <c r="N254" s="35">
        <f t="shared" si="95"/>
        <v>12.352000000013504</v>
      </c>
      <c r="O254" s="70">
        <f t="shared" si="96"/>
        <v>99.995567692092393</v>
      </c>
      <c r="P254" s="71">
        <f t="shared" si="86"/>
        <v>0</v>
      </c>
      <c r="Q254" s="35">
        <f t="shared" si="90"/>
        <v>12.352000000013504</v>
      </c>
      <c r="R254" s="72">
        <v>1103766</v>
      </c>
      <c r="S254" s="72">
        <f t="shared" si="87"/>
        <v>88423.352000000014</v>
      </c>
      <c r="T254" s="62">
        <f t="shared" si="91"/>
        <v>88423.352000000014</v>
      </c>
    </row>
    <row r="255" spans="1:20">
      <c r="A255" s="100"/>
      <c r="B255" s="9"/>
      <c r="C255" s="9"/>
      <c r="D255" s="69"/>
      <c r="E255" s="69">
        <v>112</v>
      </c>
      <c r="F255" s="136" t="s">
        <v>87</v>
      </c>
      <c r="G255" s="26">
        <v>355</v>
      </c>
      <c r="H255" s="26">
        <v>355</v>
      </c>
      <c r="I255" s="26">
        <v>355</v>
      </c>
      <c r="J255" s="27">
        <f t="shared" ref="J255:J271" si="117">M255</f>
        <v>353.988</v>
      </c>
      <c r="K255" s="35">
        <f>'1.09'!M219</f>
        <v>353.988</v>
      </c>
      <c r="L255" s="27"/>
      <c r="M255" s="93">
        <f>K255+L255</f>
        <v>353.988</v>
      </c>
      <c r="N255" s="35">
        <f t="shared" si="95"/>
        <v>1.0120000000000005</v>
      </c>
      <c r="O255" s="70">
        <f t="shared" si="96"/>
        <v>99.714929577464787</v>
      </c>
      <c r="P255" s="71">
        <f t="shared" si="86"/>
        <v>0</v>
      </c>
      <c r="Q255" s="35">
        <f t="shared" si="90"/>
        <v>1.0120000000000005</v>
      </c>
      <c r="R255" s="72">
        <v>1103767</v>
      </c>
      <c r="S255" s="72">
        <f t="shared" si="87"/>
        <v>1.0120000000000005</v>
      </c>
    </row>
    <row r="256" spans="1:20">
      <c r="A256" s="100"/>
      <c r="B256" s="9"/>
      <c r="C256" s="9"/>
      <c r="D256" s="69"/>
      <c r="E256" s="76">
        <v>113</v>
      </c>
      <c r="F256" s="136" t="s">
        <v>88</v>
      </c>
      <c r="G256" s="26">
        <v>11349</v>
      </c>
      <c r="H256" s="26">
        <v>6150.2</v>
      </c>
      <c r="I256" s="26">
        <v>6150.2</v>
      </c>
      <c r="J256" s="27">
        <f t="shared" si="117"/>
        <v>6150.1939999999995</v>
      </c>
      <c r="K256" s="35">
        <f>'1.09'!M220</f>
        <v>5987.7359999999999</v>
      </c>
      <c r="L256" s="27">
        <v>162.458</v>
      </c>
      <c r="M256" s="93">
        <f t="shared" ref="M256:M271" si="118">K256+L256</f>
        <v>6150.1939999999995</v>
      </c>
      <c r="N256" s="35">
        <f t="shared" si="95"/>
        <v>6.0000000003128662E-3</v>
      </c>
      <c r="O256" s="70">
        <f>M256/I256*100</f>
        <v>99.999902442196998</v>
      </c>
      <c r="P256" s="71">
        <f t="shared" si="86"/>
        <v>0</v>
      </c>
      <c r="Q256" s="35">
        <f t="shared" si="90"/>
        <v>6.0000000003128662E-3</v>
      </c>
      <c r="R256" s="72">
        <v>1103768</v>
      </c>
      <c r="S256" s="72">
        <f t="shared" si="87"/>
        <v>5198.8060000000005</v>
      </c>
      <c r="T256" s="62">
        <f t="shared" si="91"/>
        <v>5198.8060000000005</v>
      </c>
    </row>
    <row r="257" spans="1:20">
      <c r="A257" s="100"/>
      <c r="B257" s="9"/>
      <c r="C257" s="9"/>
      <c r="D257" s="69"/>
      <c r="E257" s="69">
        <v>116</v>
      </c>
      <c r="F257" s="136" t="s">
        <v>89</v>
      </c>
      <c r="G257" s="26">
        <v>11283</v>
      </c>
      <c r="H257" s="26">
        <v>6273</v>
      </c>
      <c r="I257" s="26">
        <v>6273</v>
      </c>
      <c r="J257" s="27">
        <f t="shared" si="117"/>
        <v>6272.9999999999991</v>
      </c>
      <c r="K257" s="35">
        <f>'1.09'!M221</f>
        <v>5602.9519999999993</v>
      </c>
      <c r="L257" s="27">
        <v>670.048</v>
      </c>
      <c r="M257" s="93">
        <f t="shared" si="118"/>
        <v>6272.9999999999991</v>
      </c>
      <c r="N257" s="35">
        <f t="shared" si="95"/>
        <v>0</v>
      </c>
      <c r="O257" s="70">
        <f>M257/I257*100</f>
        <v>99.999999999999986</v>
      </c>
      <c r="P257" s="71">
        <f t="shared" si="86"/>
        <v>0</v>
      </c>
      <c r="Q257" s="35">
        <f t="shared" si="90"/>
        <v>0</v>
      </c>
      <c r="R257" s="72">
        <v>1103769</v>
      </c>
      <c r="S257" s="72">
        <f t="shared" si="87"/>
        <v>5010.0000000000009</v>
      </c>
    </row>
    <row r="258" spans="1:20">
      <c r="A258" s="100"/>
      <c r="B258" s="9"/>
      <c r="C258" s="9"/>
      <c r="D258" s="69"/>
      <c r="E258" s="69">
        <v>121</v>
      </c>
      <c r="F258" s="136" t="s">
        <v>90</v>
      </c>
      <c r="G258" s="26">
        <v>19034</v>
      </c>
      <c r="H258" s="26">
        <v>14436</v>
      </c>
      <c r="I258" s="26">
        <v>14436</v>
      </c>
      <c r="J258" s="27">
        <f t="shared" si="117"/>
        <v>14436</v>
      </c>
      <c r="K258" s="35">
        <f>'1.09'!M222</f>
        <v>12832</v>
      </c>
      <c r="L258" s="27">
        <v>1604</v>
      </c>
      <c r="M258" s="93">
        <f t="shared" si="118"/>
        <v>14436</v>
      </c>
      <c r="N258" s="35">
        <f t="shared" si="95"/>
        <v>0</v>
      </c>
      <c r="O258" s="70">
        <f t="shared" si="96"/>
        <v>100</v>
      </c>
      <c r="P258" s="71">
        <f t="shared" si="86"/>
        <v>0</v>
      </c>
      <c r="Q258" s="35">
        <f t="shared" si="90"/>
        <v>0</v>
      </c>
      <c r="R258" s="72">
        <v>1103770</v>
      </c>
      <c r="S258" s="72">
        <f t="shared" si="87"/>
        <v>4598</v>
      </c>
      <c r="T258" s="62">
        <f t="shared" si="91"/>
        <v>4598</v>
      </c>
    </row>
    <row r="259" spans="1:20">
      <c r="A259" s="100"/>
      <c r="B259" s="9"/>
      <c r="C259" s="9"/>
      <c r="D259" s="69"/>
      <c r="E259" s="69">
        <v>122</v>
      </c>
      <c r="F259" s="136" t="s">
        <v>91</v>
      </c>
      <c r="G259" s="26">
        <v>16535</v>
      </c>
      <c r="H259" s="26">
        <v>11732</v>
      </c>
      <c r="I259" s="26">
        <v>11732</v>
      </c>
      <c r="J259" s="27">
        <f t="shared" si="117"/>
        <v>11732</v>
      </c>
      <c r="K259" s="35">
        <f>'1.09'!M223</f>
        <v>10494</v>
      </c>
      <c r="L259" s="27">
        <v>1238</v>
      </c>
      <c r="M259" s="93">
        <f t="shared" si="118"/>
        <v>11732</v>
      </c>
      <c r="N259" s="35">
        <f t="shared" si="95"/>
        <v>0</v>
      </c>
      <c r="O259" s="70">
        <f t="shared" si="96"/>
        <v>100</v>
      </c>
      <c r="P259" s="71">
        <f t="shared" si="86"/>
        <v>0</v>
      </c>
      <c r="Q259" s="35">
        <f t="shared" si="90"/>
        <v>0</v>
      </c>
      <c r="R259" s="72">
        <v>1103771</v>
      </c>
      <c r="S259" s="72">
        <f t="shared" si="87"/>
        <v>4803</v>
      </c>
      <c r="T259" s="62">
        <f t="shared" si="91"/>
        <v>4803</v>
      </c>
    </row>
    <row r="260" spans="1:20">
      <c r="A260" s="100"/>
      <c r="B260" s="9"/>
      <c r="C260" s="9"/>
      <c r="D260" s="69"/>
      <c r="E260" s="69">
        <v>123</v>
      </c>
      <c r="F260" s="136" t="s">
        <v>92</v>
      </c>
      <c r="G260" s="26">
        <v>532</v>
      </c>
      <c r="H260" s="26">
        <v>496</v>
      </c>
      <c r="I260" s="26">
        <v>496</v>
      </c>
      <c r="J260" s="27">
        <f t="shared" si="117"/>
        <v>103.19274</v>
      </c>
      <c r="K260" s="35">
        <f>'1.09'!M224</f>
        <v>77.43374</v>
      </c>
      <c r="L260" s="27">
        <v>25.759</v>
      </c>
      <c r="M260" s="93">
        <f t="shared" si="118"/>
        <v>103.19274</v>
      </c>
      <c r="N260" s="35">
        <f t="shared" si="95"/>
        <v>392.80725999999999</v>
      </c>
      <c r="O260" s="70">
        <f>M260/I260*100</f>
        <v>20.804987903225808</v>
      </c>
      <c r="P260" s="71">
        <f t="shared" si="86"/>
        <v>0</v>
      </c>
      <c r="Q260" s="35">
        <f t="shared" si="90"/>
        <v>392.80725999999999</v>
      </c>
      <c r="R260" s="72">
        <v>1103772</v>
      </c>
      <c r="S260" s="72">
        <f t="shared" si="87"/>
        <v>428.80725999999999</v>
      </c>
      <c r="T260" s="62">
        <f t="shared" si="91"/>
        <v>428.80725999999999</v>
      </c>
    </row>
    <row r="261" spans="1:20">
      <c r="A261" s="100"/>
      <c r="B261" s="9"/>
      <c r="C261" s="9"/>
      <c r="D261" s="69"/>
      <c r="E261" s="69">
        <v>124</v>
      </c>
      <c r="F261" s="136" t="s">
        <v>93</v>
      </c>
      <c r="G261" s="26">
        <v>11023</v>
      </c>
      <c r="H261" s="26">
        <v>5962</v>
      </c>
      <c r="I261" s="26">
        <v>5962</v>
      </c>
      <c r="J261" s="27">
        <f t="shared" si="117"/>
        <v>5962</v>
      </c>
      <c r="K261" s="35">
        <f>'1.09'!M225</f>
        <v>5228.72</v>
      </c>
      <c r="L261" s="27">
        <v>733.28</v>
      </c>
      <c r="M261" s="93">
        <f t="shared" si="118"/>
        <v>5962</v>
      </c>
      <c r="N261" s="35">
        <f t="shared" si="95"/>
        <v>0</v>
      </c>
      <c r="O261" s="70">
        <f t="shared" si="96"/>
        <v>100</v>
      </c>
      <c r="P261" s="71">
        <f t="shared" ref="P261:P332" si="119">J261-M261</f>
        <v>0</v>
      </c>
      <c r="Q261" s="35">
        <f t="shared" si="90"/>
        <v>0</v>
      </c>
      <c r="R261" s="72">
        <v>1103773</v>
      </c>
      <c r="S261" s="72">
        <f t="shared" ref="S261:S332" si="120">G261-M261</f>
        <v>5061</v>
      </c>
      <c r="T261" s="62">
        <f t="shared" si="91"/>
        <v>5061</v>
      </c>
    </row>
    <row r="262" spans="1:20">
      <c r="A262" s="100"/>
      <c r="B262" s="9"/>
      <c r="C262" s="9"/>
      <c r="D262" s="69"/>
      <c r="E262" s="69">
        <v>141</v>
      </c>
      <c r="F262" s="136" t="s">
        <v>116</v>
      </c>
      <c r="G262" s="26">
        <v>103078</v>
      </c>
      <c r="H262" s="26">
        <v>80711.199999999997</v>
      </c>
      <c r="I262" s="26">
        <v>50726.3</v>
      </c>
      <c r="J262" s="27">
        <v>80711.125</v>
      </c>
      <c r="K262" s="35">
        <f>'1.09'!M226</f>
        <v>48026.3</v>
      </c>
      <c r="L262" s="27">
        <v>2699.9994999999999</v>
      </c>
      <c r="M262" s="93">
        <f t="shared" si="118"/>
        <v>50726.299500000001</v>
      </c>
      <c r="N262" s="35">
        <f t="shared" si="95"/>
        <v>5.0000000192085281E-4</v>
      </c>
      <c r="O262" s="70">
        <f t="shared" si="96"/>
        <v>99.999999014318007</v>
      </c>
      <c r="P262" s="71">
        <f t="shared" si="119"/>
        <v>29984.825499999999</v>
      </c>
      <c r="Q262" s="35">
        <f t="shared" ref="Q262:Q325" si="121">H262-J262</f>
        <v>7.4999999997089617E-2</v>
      </c>
      <c r="R262" s="72">
        <v>1103774</v>
      </c>
      <c r="S262" s="72">
        <f t="shared" si="120"/>
        <v>52351.700499999999</v>
      </c>
      <c r="T262" s="62">
        <f t="shared" si="91"/>
        <v>22366.875</v>
      </c>
    </row>
    <row r="263" spans="1:20" s="73" customFormat="1" ht="25.5">
      <c r="A263" s="100"/>
      <c r="B263" s="9"/>
      <c r="C263" s="9"/>
      <c r="D263" s="69"/>
      <c r="E263" s="69">
        <v>142</v>
      </c>
      <c r="F263" s="136" t="s">
        <v>122</v>
      </c>
      <c r="G263" s="26">
        <f>26237-10823</f>
        <v>15414</v>
      </c>
      <c r="H263" s="26">
        <v>4881</v>
      </c>
      <c r="I263" s="26">
        <v>4881</v>
      </c>
      <c r="J263" s="27">
        <v>4880.9992000000002</v>
      </c>
      <c r="K263" s="35">
        <f>'1.09'!M227</f>
        <v>2775.8791999999999</v>
      </c>
      <c r="L263" s="27">
        <v>2105.12</v>
      </c>
      <c r="M263" s="93">
        <f t="shared" si="118"/>
        <v>4880.9992000000002</v>
      </c>
      <c r="N263" s="35">
        <f t="shared" si="95"/>
        <v>7.9999999979918357E-4</v>
      </c>
      <c r="O263" s="70">
        <f t="shared" si="96"/>
        <v>99.999983609916015</v>
      </c>
      <c r="P263" s="71">
        <f t="shared" si="119"/>
        <v>0</v>
      </c>
      <c r="Q263" s="35">
        <f t="shared" si="121"/>
        <v>7.9999999979918357E-4</v>
      </c>
      <c r="R263" s="72">
        <v>1103775</v>
      </c>
      <c r="S263" s="72">
        <f t="shared" si="120"/>
        <v>10533.0008</v>
      </c>
      <c r="T263" s="62">
        <f t="shared" si="91"/>
        <v>10533.0008</v>
      </c>
    </row>
    <row r="264" spans="1:20">
      <c r="A264" s="100"/>
      <c r="B264" s="9"/>
      <c r="C264" s="9"/>
      <c r="D264" s="69"/>
      <c r="E264" s="69">
        <v>144</v>
      </c>
      <c r="F264" s="136" t="s">
        <v>97</v>
      </c>
      <c r="G264" s="26">
        <v>3824</v>
      </c>
      <c r="H264" s="26">
        <v>3824</v>
      </c>
      <c r="I264" s="26">
        <v>2016.9</v>
      </c>
      <c r="J264" s="27">
        <f>M264</f>
        <v>2016.8804</v>
      </c>
      <c r="K264" s="35">
        <f>'1.09'!M228</f>
        <v>1678.0650000000001</v>
      </c>
      <c r="L264" s="27">
        <v>338.81540000000001</v>
      </c>
      <c r="M264" s="93">
        <f t="shared" si="118"/>
        <v>2016.8804</v>
      </c>
      <c r="N264" s="35">
        <f t="shared" si="95"/>
        <v>1.9600000000082218E-2</v>
      </c>
      <c r="O264" s="70">
        <f t="shared" si="96"/>
        <v>99.999028211611872</v>
      </c>
      <c r="P264" s="71">
        <f t="shared" si="119"/>
        <v>0</v>
      </c>
      <c r="Q264" s="35">
        <f t="shared" si="121"/>
        <v>1807.1196</v>
      </c>
      <c r="R264" s="72">
        <v>1103776</v>
      </c>
      <c r="S264" s="72">
        <f t="shared" si="120"/>
        <v>1807.1196</v>
      </c>
      <c r="T264" s="62">
        <f t="shared" si="91"/>
        <v>1807.1196</v>
      </c>
    </row>
    <row r="265" spans="1:20">
      <c r="A265" s="100"/>
      <c r="B265" s="9"/>
      <c r="C265" s="9"/>
      <c r="D265" s="69"/>
      <c r="E265" s="69">
        <v>149</v>
      </c>
      <c r="F265" s="136" t="s">
        <v>98</v>
      </c>
      <c r="G265" s="26">
        <v>9021</v>
      </c>
      <c r="H265" s="26">
        <v>6142.8</v>
      </c>
      <c r="I265" s="26">
        <v>6142.8</v>
      </c>
      <c r="J265" s="27">
        <f t="shared" si="117"/>
        <v>5993.6570599999995</v>
      </c>
      <c r="K265" s="35">
        <f>'1.09'!M229</f>
        <v>5787.5906599999998</v>
      </c>
      <c r="L265" s="27">
        <v>206.06639999999999</v>
      </c>
      <c r="M265" s="93">
        <f t="shared" si="118"/>
        <v>5993.6570599999995</v>
      </c>
      <c r="N265" s="35">
        <f t="shared" si="95"/>
        <v>149.14294000000064</v>
      </c>
      <c r="O265" s="70">
        <f t="shared" si="96"/>
        <v>97.572069089014775</v>
      </c>
      <c r="P265" s="71">
        <f t="shared" si="119"/>
        <v>0</v>
      </c>
      <c r="Q265" s="35">
        <f t="shared" si="121"/>
        <v>149.14294000000064</v>
      </c>
      <c r="R265" s="72">
        <v>1103777</v>
      </c>
      <c r="S265" s="72">
        <f t="shared" si="120"/>
        <v>3027.3429400000005</v>
      </c>
      <c r="T265" s="62">
        <f t="shared" si="91"/>
        <v>3027.3429400000005</v>
      </c>
    </row>
    <row r="266" spans="1:20">
      <c r="A266" s="100"/>
      <c r="B266" s="9"/>
      <c r="C266" s="9"/>
      <c r="D266" s="69"/>
      <c r="E266" s="69">
        <v>151</v>
      </c>
      <c r="F266" s="136" t="s">
        <v>99</v>
      </c>
      <c r="G266" s="26">
        <v>33050</v>
      </c>
      <c r="H266" s="26">
        <v>26648.2</v>
      </c>
      <c r="I266" s="26">
        <v>26648.2</v>
      </c>
      <c r="J266" s="27">
        <f t="shared" si="117"/>
        <v>26648.132159999997</v>
      </c>
      <c r="K266" s="35">
        <f>'1.09'!M230</f>
        <v>23567.392649999998</v>
      </c>
      <c r="L266" s="27">
        <v>3080.7395099999999</v>
      </c>
      <c r="M266" s="93">
        <f t="shared" si="118"/>
        <v>26648.132159999997</v>
      </c>
      <c r="N266" s="35">
        <f t="shared" ref="N266:N329" si="122">I266-M266</f>
        <v>6.7840000003343448E-2</v>
      </c>
      <c r="O266" s="70">
        <f t="shared" si="96"/>
        <v>99.999745423705903</v>
      </c>
      <c r="P266" s="71">
        <f t="shared" si="119"/>
        <v>0</v>
      </c>
      <c r="Q266" s="35">
        <f t="shared" si="121"/>
        <v>6.7840000003343448E-2</v>
      </c>
      <c r="R266" s="72">
        <v>1103778</v>
      </c>
      <c r="S266" s="72">
        <f t="shared" si="120"/>
        <v>6401.8678400000026</v>
      </c>
      <c r="T266" s="62">
        <f t="shared" si="91"/>
        <v>6401.8678400000026</v>
      </c>
    </row>
    <row r="267" spans="1:20">
      <c r="A267" s="100"/>
      <c r="B267" s="9"/>
      <c r="C267" s="9"/>
      <c r="D267" s="69"/>
      <c r="E267" s="69">
        <v>152</v>
      </c>
      <c r="F267" s="136" t="s">
        <v>100</v>
      </c>
      <c r="G267" s="26">
        <v>3322</v>
      </c>
      <c r="H267" s="26">
        <v>3322</v>
      </c>
      <c r="I267" s="26">
        <v>1135</v>
      </c>
      <c r="J267" s="27">
        <v>1939.52</v>
      </c>
      <c r="K267" s="35">
        <f>'1.09'!M231</f>
        <v>857.14918</v>
      </c>
      <c r="L267" s="27">
        <v>186.06328999999999</v>
      </c>
      <c r="M267" s="93">
        <f t="shared" si="118"/>
        <v>1043.2124699999999</v>
      </c>
      <c r="N267" s="35">
        <f t="shared" si="122"/>
        <v>91.787530000000061</v>
      </c>
      <c r="O267" s="70">
        <f t="shared" si="96"/>
        <v>91.912992951541852</v>
      </c>
      <c r="P267" s="71">
        <f t="shared" si="119"/>
        <v>896.30753000000004</v>
      </c>
      <c r="Q267" s="35">
        <f t="shared" si="121"/>
        <v>1382.48</v>
      </c>
      <c r="R267" s="72">
        <v>1103779</v>
      </c>
      <c r="S267" s="72">
        <f t="shared" si="120"/>
        <v>2278.7875300000001</v>
      </c>
      <c r="T267" s="62">
        <f t="shared" si="91"/>
        <v>1382.48</v>
      </c>
    </row>
    <row r="268" spans="1:20">
      <c r="A268" s="100"/>
      <c r="B268" s="9"/>
      <c r="C268" s="9"/>
      <c r="D268" s="69"/>
      <c r="E268" s="69">
        <v>158</v>
      </c>
      <c r="F268" s="136" t="s">
        <v>101</v>
      </c>
      <c r="G268" s="26">
        <v>2290</v>
      </c>
      <c r="H268" s="26">
        <v>2290</v>
      </c>
      <c r="I268" s="26">
        <v>779.9</v>
      </c>
      <c r="J268" s="27">
        <v>959.68</v>
      </c>
      <c r="K268" s="35">
        <f>'1.09'!M232</f>
        <v>717.68000000000006</v>
      </c>
      <c r="L268" s="27">
        <v>61</v>
      </c>
      <c r="M268" s="93">
        <f t="shared" si="118"/>
        <v>778.68000000000006</v>
      </c>
      <c r="N268" s="35">
        <f t="shared" si="122"/>
        <v>1.2199999999999136</v>
      </c>
      <c r="O268" s="70">
        <f t="shared" si="96"/>
        <v>99.84356968842161</v>
      </c>
      <c r="P268" s="71">
        <f t="shared" si="119"/>
        <v>180.99999999999989</v>
      </c>
      <c r="Q268" s="35">
        <f t="shared" si="121"/>
        <v>1330.3200000000002</v>
      </c>
      <c r="R268" s="72">
        <v>1103780</v>
      </c>
      <c r="S268" s="72">
        <f t="shared" si="120"/>
        <v>1511.32</v>
      </c>
      <c r="T268" s="62">
        <f t="shared" si="91"/>
        <v>1330.3200000000002</v>
      </c>
    </row>
    <row r="269" spans="1:20">
      <c r="A269" s="100"/>
      <c r="B269" s="9"/>
      <c r="C269" s="9"/>
      <c r="D269" s="69"/>
      <c r="E269" s="69">
        <v>159</v>
      </c>
      <c r="F269" s="136" t="s">
        <v>84</v>
      </c>
      <c r="G269" s="26">
        <f>16176-1560+10823</f>
        <v>25439</v>
      </c>
      <c r="H269" s="26">
        <v>18005.099999999999</v>
      </c>
      <c r="I269" s="26">
        <v>8230.5</v>
      </c>
      <c r="J269" s="27">
        <v>15147.177460000001</v>
      </c>
      <c r="K269" s="35">
        <f>'1.09'!M233</f>
        <v>6733.0890099999997</v>
      </c>
      <c r="L269" s="27">
        <v>1497.4104600000001</v>
      </c>
      <c r="M269" s="93">
        <f t="shared" si="118"/>
        <v>8230.4994699999988</v>
      </c>
      <c r="N269" s="35">
        <f t="shared" si="122"/>
        <v>5.3000000116298907E-4</v>
      </c>
      <c r="O269" s="70">
        <f t="shared" si="96"/>
        <v>99.999993560537021</v>
      </c>
      <c r="P269" s="71">
        <f t="shared" si="119"/>
        <v>6916.677990000002</v>
      </c>
      <c r="Q269" s="35">
        <f t="shared" si="121"/>
        <v>2857.9225399999978</v>
      </c>
      <c r="R269" s="72">
        <v>1103781</v>
      </c>
      <c r="S269" s="72">
        <f t="shared" si="120"/>
        <v>17208.500530000001</v>
      </c>
      <c r="T269" s="62">
        <f t="shared" si="91"/>
        <v>10291.822539999999</v>
      </c>
    </row>
    <row r="270" spans="1:20">
      <c r="A270" s="100"/>
      <c r="B270" s="9"/>
      <c r="C270" s="9"/>
      <c r="D270" s="69"/>
      <c r="E270" s="69">
        <v>161</v>
      </c>
      <c r="F270" s="136" t="s">
        <v>102</v>
      </c>
      <c r="G270" s="26">
        <v>4231</v>
      </c>
      <c r="H270" s="26">
        <v>3871.5</v>
      </c>
      <c r="I270" s="26">
        <v>3871.5</v>
      </c>
      <c r="J270" s="27">
        <f>M270</f>
        <v>3871.5</v>
      </c>
      <c r="K270" s="35">
        <f>'1.09'!M234</f>
        <v>3470.5</v>
      </c>
      <c r="L270" s="27">
        <v>401</v>
      </c>
      <c r="M270" s="93">
        <f t="shared" si="118"/>
        <v>3871.5</v>
      </c>
      <c r="N270" s="35">
        <f t="shared" si="122"/>
        <v>0</v>
      </c>
      <c r="O270" s="70">
        <f t="shared" si="96"/>
        <v>100</v>
      </c>
      <c r="P270" s="71">
        <f t="shared" si="119"/>
        <v>0</v>
      </c>
      <c r="Q270" s="35">
        <f t="shared" si="121"/>
        <v>0</v>
      </c>
      <c r="R270" s="72">
        <v>1103782</v>
      </c>
      <c r="S270" s="72">
        <f t="shared" si="120"/>
        <v>359.5</v>
      </c>
      <c r="T270" s="62">
        <f t="shared" si="91"/>
        <v>359.5</v>
      </c>
    </row>
    <row r="271" spans="1:20">
      <c r="A271" s="100"/>
      <c r="B271" s="9"/>
      <c r="C271" s="9"/>
      <c r="D271" s="69"/>
      <c r="E271" s="69">
        <v>169</v>
      </c>
      <c r="F271" s="136" t="s">
        <v>103</v>
      </c>
      <c r="G271" s="26">
        <v>63</v>
      </c>
      <c r="H271" s="26"/>
      <c r="I271" s="26"/>
      <c r="J271" s="27">
        <f t="shared" si="117"/>
        <v>0</v>
      </c>
      <c r="K271" s="35">
        <f>'1.09'!M235</f>
        <v>0</v>
      </c>
      <c r="L271" s="27"/>
      <c r="M271" s="93">
        <f t="shared" si="118"/>
        <v>0</v>
      </c>
      <c r="N271" s="35">
        <f t="shared" si="122"/>
        <v>0</v>
      </c>
      <c r="O271" s="70" t="e">
        <f t="shared" si="96"/>
        <v>#DIV/0!</v>
      </c>
      <c r="P271" s="71">
        <f t="shared" si="119"/>
        <v>0</v>
      </c>
      <c r="Q271" s="35">
        <f t="shared" si="121"/>
        <v>0</v>
      </c>
      <c r="R271" s="72">
        <v>1103783</v>
      </c>
      <c r="S271" s="72">
        <f t="shared" si="120"/>
        <v>63</v>
      </c>
      <c r="T271" s="62">
        <f t="shared" si="91"/>
        <v>63</v>
      </c>
    </row>
    <row r="272" spans="1:20" hidden="1">
      <c r="A272" s="100"/>
      <c r="B272" s="15"/>
      <c r="C272" s="57" t="s">
        <v>43</v>
      </c>
      <c r="D272" s="18"/>
      <c r="E272" s="115"/>
      <c r="F272" s="67" t="s">
        <v>44</v>
      </c>
      <c r="G272" s="59">
        <f t="shared" ref="G272:M273" si="123">G273</f>
        <v>0</v>
      </c>
      <c r="H272" s="59">
        <f t="shared" si="123"/>
        <v>0</v>
      </c>
      <c r="I272" s="59">
        <f t="shared" si="123"/>
        <v>0</v>
      </c>
      <c r="J272" s="33">
        <f t="shared" si="123"/>
        <v>0</v>
      </c>
      <c r="K272" s="35">
        <f>'1.08'!M236</f>
        <v>0</v>
      </c>
      <c r="L272" s="59">
        <f t="shared" si="123"/>
        <v>0</v>
      </c>
      <c r="M272" s="29">
        <f t="shared" si="123"/>
        <v>0</v>
      </c>
      <c r="N272" s="35">
        <f t="shared" si="122"/>
        <v>0</v>
      </c>
      <c r="O272" s="70"/>
      <c r="P272" s="71">
        <f t="shared" si="119"/>
        <v>0</v>
      </c>
      <c r="Q272" s="35">
        <f t="shared" si="121"/>
        <v>0</v>
      </c>
      <c r="R272" s="72">
        <v>1103784</v>
      </c>
      <c r="S272" s="72">
        <f t="shared" si="120"/>
        <v>0</v>
      </c>
    </row>
    <row r="273" spans="1:20" hidden="1">
      <c r="A273" s="9"/>
      <c r="B273" s="12"/>
      <c r="C273" s="12"/>
      <c r="D273" s="11" t="s">
        <v>7</v>
      </c>
      <c r="E273" s="97"/>
      <c r="F273" s="4" t="s">
        <v>22</v>
      </c>
      <c r="G273" s="98">
        <f t="shared" si="123"/>
        <v>0</v>
      </c>
      <c r="H273" s="98">
        <f t="shared" si="123"/>
        <v>0</v>
      </c>
      <c r="I273" s="98">
        <f t="shared" si="123"/>
        <v>0</v>
      </c>
      <c r="J273" s="99">
        <f>J274</f>
        <v>0</v>
      </c>
      <c r="K273" s="35">
        <f>'1.08'!M237</f>
        <v>0</v>
      </c>
      <c r="L273" s="98">
        <f t="shared" si="123"/>
        <v>0</v>
      </c>
      <c r="M273" s="32">
        <f t="shared" si="123"/>
        <v>0</v>
      </c>
      <c r="N273" s="35">
        <f t="shared" si="122"/>
        <v>0</v>
      </c>
      <c r="O273" s="68" t="e">
        <f>M273/I273*100</f>
        <v>#DIV/0!</v>
      </c>
      <c r="P273" s="71">
        <f t="shared" si="119"/>
        <v>0</v>
      </c>
      <c r="Q273" s="35">
        <f t="shared" si="121"/>
        <v>0</v>
      </c>
      <c r="R273" s="72">
        <v>1103785</v>
      </c>
      <c r="S273" s="72">
        <f t="shared" si="120"/>
        <v>0</v>
      </c>
      <c r="T273" s="62">
        <f>G273-J273</f>
        <v>0</v>
      </c>
    </row>
    <row r="274" spans="1:20" ht="25.5" hidden="1">
      <c r="A274" s="100"/>
      <c r="B274" s="15"/>
      <c r="C274" s="15"/>
      <c r="D274" s="16"/>
      <c r="E274" s="20">
        <v>414</v>
      </c>
      <c r="F274" s="86" t="s">
        <v>64</v>
      </c>
      <c r="G274" s="37"/>
      <c r="H274" s="37"/>
      <c r="I274" s="37"/>
      <c r="J274" s="75">
        <f>M274</f>
        <v>0</v>
      </c>
      <c r="K274" s="35">
        <f>'1.08'!M238</f>
        <v>0</v>
      </c>
      <c r="L274" s="35"/>
      <c r="M274" s="93">
        <f t="shared" ref="M274" si="124">K274+L274</f>
        <v>0</v>
      </c>
      <c r="N274" s="35">
        <f t="shared" si="122"/>
        <v>0</v>
      </c>
      <c r="O274" s="70" t="e">
        <f>M274/I274*100</f>
        <v>#DIV/0!</v>
      </c>
      <c r="P274" s="71">
        <f t="shared" si="119"/>
        <v>0</v>
      </c>
      <c r="Q274" s="35">
        <f t="shared" si="121"/>
        <v>0</v>
      </c>
      <c r="R274" s="72">
        <v>1103786</v>
      </c>
      <c r="S274" s="72">
        <f t="shared" si="120"/>
        <v>0</v>
      </c>
    </row>
    <row r="275" spans="1:20" s="73" customFormat="1" ht="38.25">
      <c r="A275" s="100"/>
      <c r="B275" s="17">
        <v>1267</v>
      </c>
      <c r="C275" s="8"/>
      <c r="D275" s="21"/>
      <c r="E275" s="21"/>
      <c r="F275" s="139" t="s">
        <v>126</v>
      </c>
      <c r="G275" s="42">
        <f>G276+G279+G299+G304+G324</f>
        <v>7384153</v>
      </c>
      <c r="H275" s="42">
        <f t="shared" ref="H275:M275" si="125">H276+H279+H299+H304+H324</f>
        <v>3784198.1</v>
      </c>
      <c r="I275" s="42">
        <f t="shared" si="125"/>
        <v>3717118.4</v>
      </c>
      <c r="J275" s="29">
        <f t="shared" si="125"/>
        <v>3740444.0043199998</v>
      </c>
      <c r="K275" s="29">
        <f>'1.02.'!M216</f>
        <v>60896.595510000006</v>
      </c>
      <c r="L275" s="29">
        <f t="shared" si="125"/>
        <v>481923.90749000001</v>
      </c>
      <c r="M275" s="29">
        <f t="shared" si="125"/>
        <v>3712193.5152100003</v>
      </c>
      <c r="N275" s="35">
        <f t="shared" si="122"/>
        <v>4924.8847899995744</v>
      </c>
      <c r="O275" s="68">
        <f t="shared" si="96"/>
        <v>99.867507992481492</v>
      </c>
      <c r="P275" s="35">
        <f t="shared" si="119"/>
        <v>28250.4891099995</v>
      </c>
      <c r="Q275" s="35">
        <f t="shared" si="121"/>
        <v>43754.09568000026</v>
      </c>
      <c r="R275" s="72">
        <v>1103787</v>
      </c>
      <c r="S275" s="72">
        <f t="shared" si="120"/>
        <v>3671959.4847899997</v>
      </c>
      <c r="T275" s="62">
        <f t="shared" si="91"/>
        <v>3643708.9956800002</v>
      </c>
    </row>
    <row r="276" spans="1:20" ht="25.5">
      <c r="A276" s="103"/>
      <c r="B276" s="8"/>
      <c r="C276" s="17" t="s">
        <v>28</v>
      </c>
      <c r="D276" s="21"/>
      <c r="E276" s="21"/>
      <c r="F276" s="125" t="s">
        <v>127</v>
      </c>
      <c r="G276" s="23">
        <f>G277</f>
        <v>19620</v>
      </c>
      <c r="H276" s="23">
        <f t="shared" ref="H276:O277" si="126">H277</f>
        <v>19620</v>
      </c>
      <c r="I276" s="23">
        <f t="shared" si="126"/>
        <v>1635</v>
      </c>
      <c r="J276" s="38">
        <f t="shared" si="126"/>
        <v>0</v>
      </c>
      <c r="K276" s="35">
        <f>'1.02.'!M217</f>
        <v>0</v>
      </c>
      <c r="L276" s="23">
        <f t="shared" si="126"/>
        <v>0</v>
      </c>
      <c r="M276" s="24">
        <f t="shared" si="126"/>
        <v>0</v>
      </c>
      <c r="N276" s="35">
        <f t="shared" si="122"/>
        <v>1635</v>
      </c>
      <c r="O276" s="39">
        <f t="shared" si="126"/>
        <v>0</v>
      </c>
      <c r="P276" s="71">
        <f t="shared" si="119"/>
        <v>0</v>
      </c>
      <c r="Q276" s="35">
        <f t="shared" si="121"/>
        <v>19620</v>
      </c>
      <c r="R276" s="72">
        <v>1103788</v>
      </c>
      <c r="S276" s="72">
        <f t="shared" si="120"/>
        <v>19620</v>
      </c>
    </row>
    <row r="277" spans="1:20">
      <c r="A277" s="100"/>
      <c r="B277" s="8"/>
      <c r="C277" s="8"/>
      <c r="D277" s="17" t="s">
        <v>7</v>
      </c>
      <c r="E277" s="10"/>
      <c r="F277" s="140" t="s">
        <v>85</v>
      </c>
      <c r="G277" s="59">
        <f>G278</f>
        <v>19620</v>
      </c>
      <c r="H277" s="59">
        <f t="shared" si="126"/>
        <v>19620</v>
      </c>
      <c r="I277" s="59">
        <f t="shared" si="126"/>
        <v>1635</v>
      </c>
      <c r="J277" s="59">
        <f t="shared" si="126"/>
        <v>0</v>
      </c>
      <c r="K277" s="35">
        <f>'1.02.'!M218</f>
        <v>0</v>
      </c>
      <c r="L277" s="59">
        <f t="shared" si="126"/>
        <v>0</v>
      </c>
      <c r="M277" s="29">
        <f t="shared" si="126"/>
        <v>0</v>
      </c>
      <c r="N277" s="35">
        <f t="shared" si="122"/>
        <v>1635</v>
      </c>
      <c r="O277" s="68">
        <f>M277/I277*100</f>
        <v>0</v>
      </c>
      <c r="P277" s="71">
        <f t="shared" si="119"/>
        <v>0</v>
      </c>
      <c r="Q277" s="35">
        <f t="shared" si="121"/>
        <v>19620</v>
      </c>
      <c r="R277" s="72">
        <v>1103789</v>
      </c>
      <c r="S277" s="72">
        <f t="shared" si="120"/>
        <v>19620</v>
      </c>
    </row>
    <row r="278" spans="1:20">
      <c r="A278" s="100"/>
      <c r="B278" s="9"/>
      <c r="C278" s="9"/>
      <c r="D278" s="69"/>
      <c r="E278" s="69">
        <v>159</v>
      </c>
      <c r="F278" s="136" t="s">
        <v>84</v>
      </c>
      <c r="G278" s="26">
        <v>19620</v>
      </c>
      <c r="H278" s="26">
        <v>19620</v>
      </c>
      <c r="I278" s="26">
        <v>1635</v>
      </c>
      <c r="J278" s="105">
        <f>M278</f>
        <v>0</v>
      </c>
      <c r="K278" s="35">
        <f>'1.09'!M242</f>
        <v>0</v>
      </c>
      <c r="L278" s="27"/>
      <c r="M278" s="93">
        <f>K278+L278</f>
        <v>0</v>
      </c>
      <c r="N278" s="35">
        <f t="shared" si="122"/>
        <v>1635</v>
      </c>
      <c r="O278" s="70">
        <f>M278/I278*100</f>
        <v>0</v>
      </c>
      <c r="P278" s="71">
        <f t="shared" si="119"/>
        <v>0</v>
      </c>
      <c r="Q278" s="35">
        <f t="shared" si="121"/>
        <v>19620</v>
      </c>
      <c r="R278" s="72">
        <v>1103790</v>
      </c>
      <c r="S278" s="72">
        <f t="shared" si="120"/>
        <v>19620</v>
      </c>
    </row>
    <row r="279" spans="1:20" s="95" customFormat="1" ht="38.25">
      <c r="A279" s="100"/>
      <c r="B279" s="8"/>
      <c r="C279" s="17" t="s">
        <v>29</v>
      </c>
      <c r="D279" s="21"/>
      <c r="E279" s="21"/>
      <c r="F279" s="139" t="s">
        <v>128</v>
      </c>
      <c r="G279" s="59">
        <f>G280</f>
        <v>1100082</v>
      </c>
      <c r="H279" s="59">
        <f t="shared" ref="H279:M279" si="127">H280</f>
        <v>757045.7</v>
      </c>
      <c r="I279" s="59">
        <f t="shared" si="127"/>
        <v>726110.29999999993</v>
      </c>
      <c r="J279" s="29">
        <f t="shared" si="127"/>
        <v>747225.96590000018</v>
      </c>
      <c r="K279" s="59">
        <f t="shared" si="127"/>
        <v>646985.77517000004</v>
      </c>
      <c r="L279" s="29">
        <f t="shared" si="127"/>
        <v>79063.836979999993</v>
      </c>
      <c r="M279" s="29">
        <f t="shared" si="127"/>
        <v>726049.61215000006</v>
      </c>
      <c r="N279" s="35">
        <f t="shared" si="122"/>
        <v>60.687849999871105</v>
      </c>
      <c r="O279" s="68">
        <f>M279/I279*100</f>
        <v>99.991642061818993</v>
      </c>
      <c r="P279" s="71">
        <f t="shared" si="119"/>
        <v>21176.353750000126</v>
      </c>
      <c r="Q279" s="35">
        <f t="shared" si="121"/>
        <v>9819.7340999997687</v>
      </c>
      <c r="R279" s="72">
        <v>1103791</v>
      </c>
      <c r="S279" s="72">
        <f t="shared" si="120"/>
        <v>374032.38784999994</v>
      </c>
      <c r="T279" s="62">
        <f t="shared" si="91"/>
        <v>352856.03409999982</v>
      </c>
    </row>
    <row r="280" spans="1:20">
      <c r="A280" s="100"/>
      <c r="B280" s="8"/>
      <c r="C280" s="8"/>
      <c r="D280" s="17" t="s">
        <v>7</v>
      </c>
      <c r="E280" s="10"/>
      <c r="F280" s="67" t="s">
        <v>26</v>
      </c>
      <c r="G280" s="59">
        <f>SUM(G281:G298)</f>
        <v>1100082</v>
      </c>
      <c r="H280" s="59">
        <f>SUM(H281:H298)</f>
        <v>757045.7</v>
      </c>
      <c r="I280" s="59">
        <f t="shared" ref="I280:M280" si="128">SUM(I281:I298)</f>
        <v>726110.29999999993</v>
      </c>
      <c r="J280" s="29">
        <f t="shared" si="128"/>
        <v>747225.96590000018</v>
      </c>
      <c r="K280" s="59">
        <f t="shared" si="128"/>
        <v>646985.77517000004</v>
      </c>
      <c r="L280" s="29">
        <f t="shared" si="128"/>
        <v>79063.836979999993</v>
      </c>
      <c r="M280" s="29">
        <f t="shared" si="128"/>
        <v>726049.61215000006</v>
      </c>
      <c r="N280" s="35">
        <f t="shared" si="122"/>
        <v>60.687849999871105</v>
      </c>
      <c r="O280" s="68">
        <f>M280/I280*100</f>
        <v>99.991642061818993</v>
      </c>
      <c r="P280" s="71">
        <f t="shared" si="119"/>
        <v>21176.353750000126</v>
      </c>
      <c r="Q280" s="35">
        <f t="shared" si="121"/>
        <v>9819.7340999997687</v>
      </c>
      <c r="R280" s="72">
        <v>1103792</v>
      </c>
      <c r="S280" s="72">
        <f t="shared" si="120"/>
        <v>374032.38784999994</v>
      </c>
      <c r="T280" s="62">
        <f t="shared" ref="T280:T298" si="129">G280-J280</f>
        <v>352856.03409999982</v>
      </c>
    </row>
    <row r="281" spans="1:20">
      <c r="A281" s="100"/>
      <c r="B281" s="9"/>
      <c r="C281" s="9"/>
      <c r="D281" s="69"/>
      <c r="E281" s="69">
        <v>111</v>
      </c>
      <c r="F281" s="136" t="s">
        <v>86</v>
      </c>
      <c r="G281" s="26">
        <f>686021+106628-28698</f>
        <v>763951</v>
      </c>
      <c r="H281" s="26">
        <v>506802</v>
      </c>
      <c r="I281" s="26">
        <v>506802</v>
      </c>
      <c r="J281" s="105">
        <f>M281</f>
        <v>506802</v>
      </c>
      <c r="K281" s="35">
        <f>'1.09'!M245</f>
        <v>450302</v>
      </c>
      <c r="L281" s="27">
        <v>56500</v>
      </c>
      <c r="M281" s="93">
        <f t="shared" ref="M281:M309" si="130">K281+L281</f>
        <v>506802</v>
      </c>
      <c r="N281" s="35">
        <f t="shared" si="122"/>
        <v>0</v>
      </c>
      <c r="O281" s="70">
        <f t="shared" ref="O281:O298" si="131">M281/I281*100</f>
        <v>100</v>
      </c>
      <c r="P281" s="71">
        <f t="shared" si="119"/>
        <v>0</v>
      </c>
      <c r="Q281" s="35">
        <f t="shared" si="121"/>
        <v>0</v>
      </c>
      <c r="R281" s="72">
        <v>1103793</v>
      </c>
      <c r="S281" s="72">
        <f t="shared" si="120"/>
        <v>257149</v>
      </c>
      <c r="T281" s="62">
        <f t="shared" si="129"/>
        <v>257149</v>
      </c>
    </row>
    <row r="282" spans="1:20">
      <c r="A282" s="100"/>
      <c r="B282" s="9"/>
      <c r="C282" s="9"/>
      <c r="D282" s="69"/>
      <c r="E282" s="69">
        <v>112</v>
      </c>
      <c r="F282" s="136" t="s">
        <v>87</v>
      </c>
      <c r="G282" s="26">
        <f>5500+30098</f>
        <v>35598</v>
      </c>
      <c r="H282" s="26">
        <v>35598</v>
      </c>
      <c r="I282" s="26">
        <v>35598</v>
      </c>
      <c r="J282" s="105">
        <f t="shared" ref="J282:J288" si="132">M282</f>
        <v>35598</v>
      </c>
      <c r="K282" s="35">
        <f>'1.09'!M246</f>
        <v>35598</v>
      </c>
      <c r="L282" s="27"/>
      <c r="M282" s="93">
        <f t="shared" si="130"/>
        <v>35598</v>
      </c>
      <c r="N282" s="35">
        <f t="shared" si="122"/>
        <v>0</v>
      </c>
      <c r="O282" s="70">
        <f t="shared" si="131"/>
        <v>100</v>
      </c>
      <c r="P282" s="71">
        <f t="shared" si="119"/>
        <v>0</v>
      </c>
      <c r="Q282" s="35">
        <f t="shared" si="121"/>
        <v>0</v>
      </c>
      <c r="R282" s="72">
        <v>1103794</v>
      </c>
      <c r="S282" s="72">
        <f t="shared" si="120"/>
        <v>0</v>
      </c>
    </row>
    <row r="283" spans="1:20">
      <c r="A283" s="100"/>
      <c r="B283" s="9"/>
      <c r="C283" s="9"/>
      <c r="D283" s="69"/>
      <c r="E283" s="76">
        <v>113</v>
      </c>
      <c r="F283" s="136" t="s">
        <v>88</v>
      </c>
      <c r="G283" s="26">
        <v>32776</v>
      </c>
      <c r="H283" s="26">
        <v>25448</v>
      </c>
      <c r="I283" s="26">
        <v>25448</v>
      </c>
      <c r="J283" s="105">
        <f t="shared" si="132"/>
        <v>25430.949000000001</v>
      </c>
      <c r="K283" s="35">
        <f>'1.09'!M247</f>
        <v>22643.319</v>
      </c>
      <c r="L283" s="27">
        <v>2787.63</v>
      </c>
      <c r="M283" s="93">
        <f t="shared" si="130"/>
        <v>25430.949000000001</v>
      </c>
      <c r="N283" s="35">
        <f t="shared" si="122"/>
        <v>17.050999999999476</v>
      </c>
      <c r="O283" s="70">
        <f t="shared" si="131"/>
        <v>99.932996699151204</v>
      </c>
      <c r="P283" s="71">
        <f t="shared" si="119"/>
        <v>0</v>
      </c>
      <c r="Q283" s="35">
        <f t="shared" si="121"/>
        <v>17.050999999999476</v>
      </c>
      <c r="R283" s="72">
        <v>1103795</v>
      </c>
      <c r="S283" s="72">
        <f t="shared" si="120"/>
        <v>7345.0509999999995</v>
      </c>
      <c r="T283" s="62">
        <f t="shared" si="129"/>
        <v>7345.0509999999995</v>
      </c>
    </row>
    <row r="284" spans="1:20">
      <c r="A284" s="100"/>
      <c r="B284" s="9"/>
      <c r="C284" s="9"/>
      <c r="D284" s="69"/>
      <c r="E284" s="69">
        <v>116</v>
      </c>
      <c r="F284" s="136" t="s">
        <v>89</v>
      </c>
      <c r="G284" s="26">
        <f>24011+3925-700</f>
        <v>27236</v>
      </c>
      <c r="H284" s="26">
        <v>16035</v>
      </c>
      <c r="I284" s="26">
        <v>16035</v>
      </c>
      <c r="J284" s="105">
        <f t="shared" si="132"/>
        <v>16035</v>
      </c>
      <c r="K284" s="35">
        <f>'1.09'!M248</f>
        <v>14857</v>
      </c>
      <c r="L284" s="27">
        <v>1178</v>
      </c>
      <c r="M284" s="93">
        <f>K284+L284</f>
        <v>16035</v>
      </c>
      <c r="N284" s="35">
        <f t="shared" si="122"/>
        <v>0</v>
      </c>
      <c r="O284" s="70">
        <f>M284/I284*100</f>
        <v>100</v>
      </c>
      <c r="P284" s="71">
        <f t="shared" si="119"/>
        <v>0</v>
      </c>
      <c r="Q284" s="35">
        <f t="shared" si="121"/>
        <v>0</v>
      </c>
      <c r="R284" s="72">
        <v>1103796</v>
      </c>
      <c r="S284" s="72">
        <f t="shared" si="120"/>
        <v>11201</v>
      </c>
    </row>
    <row r="285" spans="1:20">
      <c r="A285" s="100"/>
      <c r="B285" s="9"/>
      <c r="C285" s="9"/>
      <c r="D285" s="69"/>
      <c r="E285" s="69">
        <v>121</v>
      </c>
      <c r="F285" s="136" t="s">
        <v>90</v>
      </c>
      <c r="G285" s="26">
        <f>35536+5920</f>
        <v>41456</v>
      </c>
      <c r="H285" s="26">
        <v>29030</v>
      </c>
      <c r="I285" s="26">
        <v>29030</v>
      </c>
      <c r="J285" s="105">
        <f t="shared" si="132"/>
        <v>29030</v>
      </c>
      <c r="K285" s="35">
        <f>'1.09'!M249</f>
        <v>24357</v>
      </c>
      <c r="L285" s="27">
        <v>4673</v>
      </c>
      <c r="M285" s="93">
        <f>K285+L285</f>
        <v>29030</v>
      </c>
      <c r="N285" s="35">
        <f t="shared" si="122"/>
        <v>0</v>
      </c>
      <c r="O285" s="70">
        <f>M285/I285*100</f>
        <v>100</v>
      </c>
      <c r="P285" s="71">
        <f t="shared" si="119"/>
        <v>0</v>
      </c>
      <c r="Q285" s="35">
        <f t="shared" si="121"/>
        <v>0</v>
      </c>
      <c r="R285" s="72">
        <v>1103797</v>
      </c>
      <c r="S285" s="72">
        <f t="shared" si="120"/>
        <v>12426</v>
      </c>
      <c r="T285" s="62">
        <f t="shared" si="129"/>
        <v>12426</v>
      </c>
    </row>
    <row r="286" spans="1:20">
      <c r="A286" s="100"/>
      <c r="B286" s="9"/>
      <c r="C286" s="9"/>
      <c r="D286" s="69"/>
      <c r="E286" s="69">
        <v>122</v>
      </c>
      <c r="F286" s="136" t="s">
        <v>91</v>
      </c>
      <c r="G286" s="26">
        <f>30871+5046</f>
        <v>35917</v>
      </c>
      <c r="H286" s="26">
        <v>24744</v>
      </c>
      <c r="I286" s="26">
        <v>24744</v>
      </c>
      <c r="J286" s="105">
        <f t="shared" si="132"/>
        <v>24743.656999999999</v>
      </c>
      <c r="K286" s="35">
        <f>'1.09'!M250</f>
        <v>22422.3</v>
      </c>
      <c r="L286" s="27">
        <v>2321.357</v>
      </c>
      <c r="M286" s="93">
        <f t="shared" si="130"/>
        <v>24743.656999999999</v>
      </c>
      <c r="N286" s="35">
        <f t="shared" si="122"/>
        <v>0.3430000000007567</v>
      </c>
      <c r="O286" s="70">
        <f t="shared" si="131"/>
        <v>99.998613805366958</v>
      </c>
      <c r="P286" s="71">
        <f t="shared" si="119"/>
        <v>0</v>
      </c>
      <c r="Q286" s="35">
        <f t="shared" si="121"/>
        <v>0.3430000000007567</v>
      </c>
      <c r="R286" s="72">
        <v>1103798</v>
      </c>
      <c r="S286" s="72">
        <f t="shared" si="120"/>
        <v>11173.343000000001</v>
      </c>
      <c r="T286" s="62">
        <f t="shared" si="129"/>
        <v>11173.343000000001</v>
      </c>
    </row>
    <row r="287" spans="1:20">
      <c r="A287" s="100"/>
      <c r="B287" s="9"/>
      <c r="C287" s="9"/>
      <c r="D287" s="69"/>
      <c r="E287" s="69">
        <v>123</v>
      </c>
      <c r="F287" s="136" t="s">
        <v>92</v>
      </c>
      <c r="G287" s="26">
        <v>342</v>
      </c>
      <c r="H287" s="26">
        <v>35</v>
      </c>
      <c r="I287" s="26">
        <v>35</v>
      </c>
      <c r="J287" s="105">
        <f t="shared" si="132"/>
        <v>29.271999999999998</v>
      </c>
      <c r="K287" s="35">
        <f>'1.09'!M251</f>
        <v>29.271999999999998</v>
      </c>
      <c r="L287" s="27"/>
      <c r="M287" s="93">
        <f t="shared" si="130"/>
        <v>29.271999999999998</v>
      </c>
      <c r="N287" s="35">
        <f t="shared" si="122"/>
        <v>5.7280000000000015</v>
      </c>
      <c r="O287" s="70">
        <f t="shared" si="131"/>
        <v>83.63428571428571</v>
      </c>
      <c r="P287" s="71">
        <f t="shared" si="119"/>
        <v>0</v>
      </c>
      <c r="Q287" s="35">
        <f t="shared" si="121"/>
        <v>5.7280000000000015</v>
      </c>
      <c r="R287" s="72">
        <v>1103799</v>
      </c>
      <c r="S287" s="72">
        <f t="shared" si="120"/>
        <v>312.72800000000001</v>
      </c>
    </row>
    <row r="288" spans="1:20">
      <c r="A288" s="100"/>
      <c r="B288" s="9"/>
      <c r="C288" s="9"/>
      <c r="D288" s="69"/>
      <c r="E288" s="69">
        <v>124</v>
      </c>
      <c r="F288" s="136" t="s">
        <v>93</v>
      </c>
      <c r="G288" s="26">
        <f>20581+3364-700</f>
        <v>23245</v>
      </c>
      <c r="H288" s="26">
        <v>14525</v>
      </c>
      <c r="I288" s="26">
        <v>14525</v>
      </c>
      <c r="J288" s="105">
        <f t="shared" si="132"/>
        <v>14525</v>
      </c>
      <c r="K288" s="35">
        <f>'1.09'!M252</f>
        <v>13680</v>
      </c>
      <c r="L288" s="27">
        <v>845</v>
      </c>
      <c r="M288" s="93">
        <f t="shared" si="130"/>
        <v>14525</v>
      </c>
      <c r="N288" s="35">
        <f t="shared" si="122"/>
        <v>0</v>
      </c>
      <c r="O288" s="70">
        <f t="shared" si="131"/>
        <v>100</v>
      </c>
      <c r="P288" s="71">
        <f t="shared" si="119"/>
        <v>0</v>
      </c>
      <c r="Q288" s="35">
        <f t="shared" si="121"/>
        <v>0</v>
      </c>
      <c r="R288" s="72">
        <v>1103800</v>
      </c>
      <c r="S288" s="72">
        <f t="shared" si="120"/>
        <v>8720</v>
      </c>
      <c r="T288" s="62">
        <f t="shared" si="129"/>
        <v>8720</v>
      </c>
    </row>
    <row r="289" spans="1:20">
      <c r="A289" s="100"/>
      <c r="B289" s="9"/>
      <c r="C289" s="9"/>
      <c r="D289" s="69"/>
      <c r="E289" s="69">
        <v>144</v>
      </c>
      <c r="F289" s="136" t="s">
        <v>97</v>
      </c>
      <c r="G289" s="26">
        <f>9873-951.9</f>
        <v>8921.1</v>
      </c>
      <c r="H289" s="26">
        <v>8921.1</v>
      </c>
      <c r="I289" s="26">
        <v>7888.2</v>
      </c>
      <c r="J289" s="105">
        <v>8921.0878400000001</v>
      </c>
      <c r="K289" s="35">
        <f>'1.09'!M253</f>
        <v>7888.0278399999997</v>
      </c>
      <c r="L289" s="27"/>
      <c r="M289" s="93">
        <f t="shared" si="130"/>
        <v>7888.0278399999997</v>
      </c>
      <c r="N289" s="35">
        <f t="shared" si="122"/>
        <v>0.17216000000007625</v>
      </c>
      <c r="O289" s="70">
        <f t="shared" si="131"/>
        <v>99.997817499556291</v>
      </c>
      <c r="P289" s="71">
        <f t="shared" si="119"/>
        <v>1033.0600000000004</v>
      </c>
      <c r="Q289" s="35">
        <f t="shared" si="121"/>
        <v>1.2160000000221771E-2</v>
      </c>
      <c r="R289" s="72">
        <v>1103801</v>
      </c>
      <c r="S289" s="72">
        <f t="shared" si="120"/>
        <v>1033.0721600000006</v>
      </c>
      <c r="T289" s="62">
        <f t="shared" si="129"/>
        <v>1.2160000000221771E-2</v>
      </c>
    </row>
    <row r="290" spans="1:20">
      <c r="A290" s="100"/>
      <c r="B290" s="9"/>
      <c r="C290" s="9"/>
      <c r="D290" s="69"/>
      <c r="E290" s="69">
        <v>149</v>
      </c>
      <c r="F290" s="136" t="s">
        <v>98</v>
      </c>
      <c r="G290" s="26">
        <f>21813-15179</f>
        <v>6634</v>
      </c>
      <c r="H290" s="26">
        <v>4135.1000000000004</v>
      </c>
      <c r="I290" s="26">
        <v>4135.1000000000004</v>
      </c>
      <c r="J290" s="105">
        <f>M290</f>
        <v>4135.0153100000007</v>
      </c>
      <c r="K290" s="35">
        <f>'1.09'!M254</f>
        <v>4135.0153100000007</v>
      </c>
      <c r="L290" s="27"/>
      <c r="M290" s="93">
        <f t="shared" si="130"/>
        <v>4135.0153100000007</v>
      </c>
      <c r="N290" s="35">
        <f t="shared" si="122"/>
        <v>8.4689999999682186E-2</v>
      </c>
      <c r="O290" s="70">
        <f t="shared" si="131"/>
        <v>99.997951923774522</v>
      </c>
      <c r="P290" s="71">
        <f t="shared" si="119"/>
        <v>0</v>
      </c>
      <c r="Q290" s="35">
        <f t="shared" si="121"/>
        <v>8.4689999999682186E-2</v>
      </c>
      <c r="R290" s="72">
        <v>1103802</v>
      </c>
      <c r="S290" s="72">
        <f t="shared" si="120"/>
        <v>2498.9846899999993</v>
      </c>
      <c r="T290" s="62">
        <f t="shared" si="129"/>
        <v>2498.9846899999993</v>
      </c>
    </row>
    <row r="291" spans="1:20">
      <c r="A291" s="100"/>
      <c r="B291" s="9"/>
      <c r="C291" s="9"/>
      <c r="D291" s="69"/>
      <c r="E291" s="69">
        <v>151</v>
      </c>
      <c r="F291" s="136" t="s">
        <v>99</v>
      </c>
      <c r="G291" s="26">
        <f>10168+10000+12000</f>
        <v>32168</v>
      </c>
      <c r="H291" s="26">
        <v>8768.2999999999993</v>
      </c>
      <c r="I291" s="26">
        <v>8768.2999999999993</v>
      </c>
      <c r="J291" s="105">
        <f>M291</f>
        <v>8768.2999999999993</v>
      </c>
      <c r="K291" s="35">
        <f>'1.09'!M255</f>
        <v>7681.3</v>
      </c>
      <c r="L291" s="27">
        <v>1087</v>
      </c>
      <c r="M291" s="93">
        <f t="shared" si="130"/>
        <v>8768.2999999999993</v>
      </c>
      <c r="N291" s="35">
        <f t="shared" si="122"/>
        <v>0</v>
      </c>
      <c r="O291" s="70">
        <f t="shared" si="131"/>
        <v>100</v>
      </c>
      <c r="P291" s="71">
        <f t="shared" si="119"/>
        <v>0</v>
      </c>
      <c r="Q291" s="35">
        <f t="shared" si="121"/>
        <v>0</v>
      </c>
      <c r="R291" s="72">
        <v>1103803</v>
      </c>
      <c r="S291" s="72">
        <f t="shared" si="120"/>
        <v>23399.7</v>
      </c>
      <c r="T291" s="62">
        <f t="shared" si="129"/>
        <v>23399.7</v>
      </c>
    </row>
    <row r="292" spans="1:20">
      <c r="A292" s="100"/>
      <c r="B292" s="9"/>
      <c r="C292" s="9"/>
      <c r="D292" s="69"/>
      <c r="E292" s="69">
        <v>152</v>
      </c>
      <c r="F292" s="136" t="s">
        <v>100</v>
      </c>
      <c r="G292" s="26">
        <f>34000-419.4</f>
        <v>33580.6</v>
      </c>
      <c r="H292" s="26">
        <v>31008.9</v>
      </c>
      <c r="I292" s="26">
        <v>20683.099999999999</v>
      </c>
      <c r="J292" s="105">
        <v>31008.889520000001</v>
      </c>
      <c r="K292" s="35">
        <f>'1.09'!M256</f>
        <v>18203.97538</v>
      </c>
      <c r="L292" s="27">
        <v>2469.59962</v>
      </c>
      <c r="M292" s="93">
        <f t="shared" si="130"/>
        <v>20673.575000000001</v>
      </c>
      <c r="N292" s="35">
        <f t="shared" si="122"/>
        <v>9.5249999999978172</v>
      </c>
      <c r="O292" s="70">
        <f t="shared" si="131"/>
        <v>99.953947909162565</v>
      </c>
      <c r="P292" s="71">
        <f t="shared" si="119"/>
        <v>10335.31452</v>
      </c>
      <c r="Q292" s="35">
        <f t="shared" si="121"/>
        <v>1.0480000000825385E-2</v>
      </c>
      <c r="R292" s="72">
        <v>1103804</v>
      </c>
      <c r="S292" s="72">
        <f t="shared" si="120"/>
        <v>12907.024999999998</v>
      </c>
      <c r="T292" s="62">
        <f t="shared" si="129"/>
        <v>2571.7104799999979</v>
      </c>
    </row>
    <row r="293" spans="1:20">
      <c r="A293" s="100"/>
      <c r="B293" s="9"/>
      <c r="C293" s="9"/>
      <c r="D293" s="69"/>
      <c r="E293" s="69">
        <v>158</v>
      </c>
      <c r="F293" s="136" t="s">
        <v>101</v>
      </c>
      <c r="G293" s="26">
        <f>3657+330.7</f>
        <v>3987.7</v>
      </c>
      <c r="H293" s="26">
        <v>3987.7</v>
      </c>
      <c r="I293" s="26">
        <v>2660.7</v>
      </c>
      <c r="J293" s="105">
        <v>3987.6156000000001</v>
      </c>
      <c r="K293" s="35">
        <f>'1.09'!M257</f>
        <v>2328.0998</v>
      </c>
      <c r="L293" s="27">
        <v>332.60019999999997</v>
      </c>
      <c r="M293" s="93">
        <f t="shared" si="130"/>
        <v>2660.7</v>
      </c>
      <c r="N293" s="35">
        <f t="shared" si="122"/>
        <v>0</v>
      </c>
      <c r="O293" s="70">
        <f t="shared" si="131"/>
        <v>100</v>
      </c>
      <c r="P293" s="71">
        <f t="shared" si="119"/>
        <v>1326.9156000000003</v>
      </c>
      <c r="Q293" s="35">
        <f t="shared" si="121"/>
        <v>8.4399999999732245E-2</v>
      </c>
      <c r="R293" s="72">
        <v>1103805</v>
      </c>
      <c r="S293" s="72">
        <f t="shared" si="120"/>
        <v>1327</v>
      </c>
      <c r="T293" s="62">
        <f t="shared" si="129"/>
        <v>8.4399999999732245E-2</v>
      </c>
    </row>
    <row r="294" spans="1:20">
      <c r="A294" s="100"/>
      <c r="B294" s="9"/>
      <c r="C294" s="9"/>
      <c r="D294" s="69"/>
      <c r="E294" s="69">
        <v>159</v>
      </c>
      <c r="F294" s="136" t="s">
        <v>84</v>
      </c>
      <c r="G294" s="26">
        <f>28010+419.4+899.9+3321.3+10000</f>
        <v>42650.600000000006</v>
      </c>
      <c r="H294" s="26">
        <v>38998.6</v>
      </c>
      <c r="I294" s="26">
        <v>20748.900000000001</v>
      </c>
      <c r="J294" s="105">
        <v>29229.963629999998</v>
      </c>
      <c r="K294" s="35">
        <f>'1.09'!M258</f>
        <v>14722.49984</v>
      </c>
      <c r="L294" s="27">
        <v>6026.4001600000001</v>
      </c>
      <c r="M294" s="93">
        <f t="shared" si="130"/>
        <v>20748.900000000001</v>
      </c>
      <c r="N294" s="35">
        <f t="shared" si="122"/>
        <v>0</v>
      </c>
      <c r="O294" s="70">
        <f t="shared" si="131"/>
        <v>100</v>
      </c>
      <c r="P294" s="71">
        <f t="shared" si="119"/>
        <v>8481.0636299999969</v>
      </c>
      <c r="Q294" s="35">
        <f t="shared" si="121"/>
        <v>9768.6363700000002</v>
      </c>
      <c r="R294" s="72">
        <v>1103806</v>
      </c>
      <c r="S294" s="72">
        <f t="shared" si="120"/>
        <v>21901.700000000004</v>
      </c>
      <c r="T294" s="62">
        <f t="shared" si="129"/>
        <v>13420.636370000007</v>
      </c>
    </row>
    <row r="295" spans="1:20">
      <c r="A295" s="100"/>
      <c r="B295" s="9"/>
      <c r="C295" s="9"/>
      <c r="D295" s="69"/>
      <c r="E295" s="69">
        <v>161</v>
      </c>
      <c r="F295" s="136" t="s">
        <v>102</v>
      </c>
      <c r="G295" s="26">
        <f>9868+50+1527</f>
        <v>11445</v>
      </c>
      <c r="H295" s="26">
        <v>8877</v>
      </c>
      <c r="I295" s="26">
        <v>8877</v>
      </c>
      <c r="J295" s="105">
        <f t="shared" ref="J295:J298" si="133">M295</f>
        <v>8877</v>
      </c>
      <c r="K295" s="35">
        <f>'1.09'!M259</f>
        <v>8077</v>
      </c>
      <c r="L295" s="27">
        <v>800</v>
      </c>
      <c r="M295" s="93">
        <f t="shared" si="130"/>
        <v>8877</v>
      </c>
      <c r="N295" s="35">
        <f t="shared" si="122"/>
        <v>0</v>
      </c>
      <c r="O295" s="70">
        <f t="shared" si="131"/>
        <v>100</v>
      </c>
      <c r="P295" s="71">
        <f t="shared" si="119"/>
        <v>0</v>
      </c>
      <c r="Q295" s="35">
        <f t="shared" si="121"/>
        <v>0</v>
      </c>
      <c r="R295" s="72">
        <v>1103807</v>
      </c>
      <c r="S295" s="72">
        <f t="shared" si="120"/>
        <v>2568</v>
      </c>
      <c r="T295" s="62">
        <f t="shared" si="129"/>
        <v>2568</v>
      </c>
    </row>
    <row r="296" spans="1:20">
      <c r="A296" s="100"/>
      <c r="B296" s="9"/>
      <c r="C296" s="9"/>
      <c r="D296" s="69"/>
      <c r="E296" s="69">
        <v>165</v>
      </c>
      <c r="F296" s="3" t="s">
        <v>168</v>
      </c>
      <c r="G296" s="26">
        <v>50</v>
      </c>
      <c r="H296" s="26">
        <v>50</v>
      </c>
      <c r="I296" s="26">
        <v>50</v>
      </c>
      <c r="J296" s="105">
        <f t="shared" si="133"/>
        <v>50</v>
      </c>
      <c r="K296" s="35">
        <f>'1.09'!M260</f>
        <v>50</v>
      </c>
      <c r="L296" s="27"/>
      <c r="M296" s="93">
        <f t="shared" si="130"/>
        <v>50</v>
      </c>
      <c r="N296" s="35">
        <f t="shared" si="122"/>
        <v>0</v>
      </c>
      <c r="O296" s="70">
        <f t="shared" si="131"/>
        <v>100</v>
      </c>
      <c r="P296" s="71">
        <f t="shared" si="119"/>
        <v>0</v>
      </c>
      <c r="Q296" s="35">
        <f t="shared" si="121"/>
        <v>0</v>
      </c>
      <c r="R296" s="72">
        <v>1103808</v>
      </c>
      <c r="S296" s="72">
        <f t="shared" si="120"/>
        <v>0</v>
      </c>
    </row>
    <row r="297" spans="1:20">
      <c r="A297" s="100"/>
      <c r="B297" s="9"/>
      <c r="C297" s="9"/>
      <c r="D297" s="69"/>
      <c r="E297" s="69">
        <v>168</v>
      </c>
      <c r="F297" s="136" t="s">
        <v>167</v>
      </c>
      <c r="G297" s="26">
        <f>102+2</f>
        <v>104</v>
      </c>
      <c r="H297" s="26">
        <v>62</v>
      </c>
      <c r="I297" s="26">
        <v>62</v>
      </c>
      <c r="J297" s="105">
        <f t="shared" si="133"/>
        <v>45.216000000000001</v>
      </c>
      <c r="K297" s="35">
        <f>'1.09'!M261</f>
        <v>1.966</v>
      </c>
      <c r="L297" s="27">
        <v>43.25</v>
      </c>
      <c r="M297" s="93">
        <f t="shared" si="130"/>
        <v>45.216000000000001</v>
      </c>
      <c r="N297" s="35">
        <f t="shared" si="122"/>
        <v>16.783999999999999</v>
      </c>
      <c r="O297" s="70">
        <f t="shared" si="131"/>
        <v>72.929032258064524</v>
      </c>
      <c r="P297" s="71">
        <f t="shared" si="119"/>
        <v>0</v>
      </c>
      <c r="Q297" s="35">
        <f t="shared" si="121"/>
        <v>16.783999999999999</v>
      </c>
      <c r="R297" s="72">
        <v>1103809</v>
      </c>
      <c r="S297" s="72">
        <f t="shared" si="120"/>
        <v>58.783999999999999</v>
      </c>
    </row>
    <row r="298" spans="1:20">
      <c r="A298" s="100"/>
      <c r="B298" s="9"/>
      <c r="C298" s="9"/>
      <c r="D298" s="69"/>
      <c r="E298" s="69">
        <v>169</v>
      </c>
      <c r="F298" s="136" t="s">
        <v>103</v>
      </c>
      <c r="G298" s="26">
        <f>172-102-50</f>
        <v>20</v>
      </c>
      <c r="H298" s="26">
        <v>20</v>
      </c>
      <c r="I298" s="26">
        <v>20</v>
      </c>
      <c r="J298" s="105">
        <f t="shared" si="133"/>
        <v>9</v>
      </c>
      <c r="K298" s="35">
        <f>'1.09'!M262</f>
        <v>9</v>
      </c>
      <c r="L298" s="27"/>
      <c r="M298" s="93">
        <f>K298+L298</f>
        <v>9</v>
      </c>
      <c r="N298" s="35">
        <f t="shared" si="122"/>
        <v>11</v>
      </c>
      <c r="O298" s="70">
        <f t="shared" si="131"/>
        <v>45</v>
      </c>
      <c r="P298" s="71">
        <f t="shared" si="119"/>
        <v>0</v>
      </c>
      <c r="Q298" s="35">
        <f t="shared" si="121"/>
        <v>11</v>
      </c>
      <c r="R298" s="72">
        <v>1103808</v>
      </c>
      <c r="S298" s="72">
        <f t="shared" si="120"/>
        <v>11</v>
      </c>
      <c r="T298" s="62">
        <f t="shared" si="129"/>
        <v>11</v>
      </c>
    </row>
    <row r="299" spans="1:20" ht="25.5">
      <c r="A299" s="100"/>
      <c r="B299" s="15"/>
      <c r="C299" s="57" t="s">
        <v>43</v>
      </c>
      <c r="D299" s="16"/>
      <c r="E299" s="20"/>
      <c r="F299" s="139" t="s">
        <v>119</v>
      </c>
      <c r="G299" s="59">
        <f t="shared" ref="G299:M299" si="134">G300</f>
        <v>23430</v>
      </c>
      <c r="H299" s="59">
        <f t="shared" si="134"/>
        <v>23142.799999999999</v>
      </c>
      <c r="I299" s="59">
        <f t="shared" si="134"/>
        <v>16911.5</v>
      </c>
      <c r="J299" s="29">
        <f t="shared" si="134"/>
        <v>20798.373940000001</v>
      </c>
      <c r="K299" s="35">
        <f>'1.02.'!M238</f>
        <v>0</v>
      </c>
      <c r="L299" s="29">
        <f t="shared" si="134"/>
        <v>8821.6669500000007</v>
      </c>
      <c r="M299" s="29">
        <f t="shared" si="134"/>
        <v>16911.221960000003</v>
      </c>
      <c r="N299" s="35">
        <f t="shared" si="122"/>
        <v>0.27803999999741791</v>
      </c>
      <c r="O299" s="70"/>
      <c r="P299" s="71">
        <f t="shared" si="119"/>
        <v>3887.1519799999987</v>
      </c>
      <c r="Q299" s="35">
        <f t="shared" si="121"/>
        <v>2344.426059999998</v>
      </c>
      <c r="R299" s="72">
        <v>1103809</v>
      </c>
      <c r="S299" s="72">
        <f t="shared" si="120"/>
        <v>6518.7780399999974</v>
      </c>
    </row>
    <row r="300" spans="1:20">
      <c r="A300" s="9"/>
      <c r="B300" s="12"/>
      <c r="C300" s="12"/>
      <c r="D300" s="11" t="s">
        <v>7</v>
      </c>
      <c r="E300" s="97"/>
      <c r="F300" s="122" t="s">
        <v>85</v>
      </c>
      <c r="G300" s="98">
        <f>SUM(G301:G303)</f>
        <v>23430</v>
      </c>
      <c r="H300" s="98">
        <f t="shared" ref="H300:M300" si="135">SUM(H301:H303)</f>
        <v>23142.799999999999</v>
      </c>
      <c r="I300" s="98">
        <f t="shared" si="135"/>
        <v>16911.5</v>
      </c>
      <c r="J300" s="32">
        <f t="shared" si="135"/>
        <v>20798.373940000001</v>
      </c>
      <c r="K300" s="32">
        <f t="shared" si="135"/>
        <v>8089.55501</v>
      </c>
      <c r="L300" s="32">
        <f t="shared" si="135"/>
        <v>8821.6669500000007</v>
      </c>
      <c r="M300" s="32">
        <f t="shared" si="135"/>
        <v>16911.221960000003</v>
      </c>
      <c r="N300" s="35">
        <f t="shared" si="122"/>
        <v>0.27803999999741791</v>
      </c>
      <c r="O300" s="68">
        <f>M300/I300*100</f>
        <v>99.998355911657768</v>
      </c>
      <c r="P300" s="71">
        <f t="shared" si="119"/>
        <v>3887.1519799999987</v>
      </c>
      <c r="Q300" s="35">
        <f t="shared" si="121"/>
        <v>2344.426059999998</v>
      </c>
      <c r="R300" s="72">
        <v>1103810</v>
      </c>
      <c r="S300" s="72">
        <f t="shared" si="120"/>
        <v>6518.7780399999974</v>
      </c>
      <c r="T300" s="62">
        <f>G300-J300</f>
        <v>2631.6260599999987</v>
      </c>
    </row>
    <row r="301" spans="1:20" ht="25.5">
      <c r="A301" s="100"/>
      <c r="B301" s="15"/>
      <c r="C301" s="15"/>
      <c r="D301" s="16"/>
      <c r="E301" s="20">
        <v>414</v>
      </c>
      <c r="F301" s="50" t="s">
        <v>105</v>
      </c>
      <c r="G301" s="37">
        <f>3430-1089.3+20000-186.8+1089.3</f>
        <v>23243.200000000001</v>
      </c>
      <c r="H301" s="37">
        <v>22956</v>
      </c>
      <c r="I301" s="37">
        <v>16724.7</v>
      </c>
      <c r="J301" s="75">
        <v>20611.618930000001</v>
      </c>
      <c r="K301" s="35">
        <f>'1.09'!M265</f>
        <v>7902.8</v>
      </c>
      <c r="L301" s="35">
        <v>8821.6669500000007</v>
      </c>
      <c r="M301" s="93">
        <f>K301+L301</f>
        <v>16724.466950000002</v>
      </c>
      <c r="N301" s="35">
        <f t="shared" si="122"/>
        <v>0.23304999999891152</v>
      </c>
      <c r="O301" s="70">
        <f t="shared" ref="O301:O303" si="136">M301/I301*100</f>
        <v>99.998606551985986</v>
      </c>
      <c r="P301" s="71">
        <f t="shared" si="119"/>
        <v>3887.1519799999987</v>
      </c>
      <c r="Q301" s="35">
        <f t="shared" si="121"/>
        <v>2344.3810699999995</v>
      </c>
      <c r="R301" s="72">
        <v>1103811</v>
      </c>
      <c r="S301" s="72">
        <f t="shared" si="120"/>
        <v>6518.7330499999989</v>
      </c>
    </row>
    <row r="302" spans="1:20" hidden="1">
      <c r="A302" s="100"/>
      <c r="B302" s="15"/>
      <c r="C302" s="15"/>
      <c r="D302" s="16"/>
      <c r="E302" s="20">
        <v>416</v>
      </c>
      <c r="F302" s="3" t="s">
        <v>66</v>
      </c>
      <c r="G302" s="37">
        <f>1089.3-1089.3</f>
        <v>0</v>
      </c>
      <c r="H302" s="37">
        <v>0</v>
      </c>
      <c r="I302" s="37"/>
      <c r="J302" s="75">
        <f>M302</f>
        <v>0</v>
      </c>
      <c r="K302" s="35">
        <f>'1.09'!M266</f>
        <v>0</v>
      </c>
      <c r="L302" s="35"/>
      <c r="M302" s="93">
        <f>K302+L302</f>
        <v>0</v>
      </c>
      <c r="N302" s="35">
        <f t="shared" si="122"/>
        <v>0</v>
      </c>
      <c r="O302" s="70" t="e">
        <f t="shared" si="136"/>
        <v>#DIV/0!</v>
      </c>
      <c r="P302" s="71">
        <f t="shared" si="119"/>
        <v>0</v>
      </c>
      <c r="Q302" s="35">
        <f t="shared" si="121"/>
        <v>0</v>
      </c>
      <c r="R302" s="72">
        <v>1103812</v>
      </c>
      <c r="S302" s="72">
        <f t="shared" si="120"/>
        <v>0</v>
      </c>
    </row>
    <row r="303" spans="1:20">
      <c r="A303" s="100"/>
      <c r="B303" s="15"/>
      <c r="C303" s="15"/>
      <c r="D303" s="16"/>
      <c r="E303" s="20">
        <v>419</v>
      </c>
      <c r="F303" s="86" t="s">
        <v>153</v>
      </c>
      <c r="G303" s="37">
        <v>186.8</v>
      </c>
      <c r="H303" s="37">
        <v>186.8</v>
      </c>
      <c r="I303" s="37">
        <v>186.8</v>
      </c>
      <c r="J303" s="75">
        <f>M303</f>
        <v>186.75501</v>
      </c>
      <c r="K303" s="35">
        <f>'1.09'!M267</f>
        <v>186.75501</v>
      </c>
      <c r="L303" s="35"/>
      <c r="M303" s="93">
        <f>K303+L303</f>
        <v>186.75501</v>
      </c>
      <c r="N303" s="35">
        <f t="shared" si="122"/>
        <v>4.4990000000012742E-2</v>
      </c>
      <c r="O303" s="70">
        <f t="shared" si="136"/>
        <v>99.97591541755888</v>
      </c>
      <c r="P303" s="71">
        <f t="shared" si="119"/>
        <v>0</v>
      </c>
      <c r="Q303" s="35">
        <f t="shared" si="121"/>
        <v>4.4990000000012742E-2</v>
      </c>
      <c r="R303" s="72">
        <v>1103812</v>
      </c>
      <c r="S303" s="72">
        <f t="shared" si="120"/>
        <v>4.4990000000012742E-2</v>
      </c>
    </row>
    <row r="304" spans="1:20" s="73" customFormat="1">
      <c r="A304" s="103"/>
      <c r="B304" s="8"/>
      <c r="C304" s="17" t="s">
        <v>30</v>
      </c>
      <c r="D304" s="21"/>
      <c r="E304" s="21"/>
      <c r="F304" s="139" t="s">
        <v>129</v>
      </c>
      <c r="G304" s="23">
        <f>G305+G307+G310</f>
        <v>6230593</v>
      </c>
      <c r="H304" s="23">
        <f>H305+H307+H310</f>
        <v>2974009.6</v>
      </c>
      <c r="I304" s="23">
        <f t="shared" ref="I304:M304" si="137">I305+I307+I310</f>
        <v>2962081.6</v>
      </c>
      <c r="J304" s="24">
        <f t="shared" si="137"/>
        <v>2963337.1644799998</v>
      </c>
      <c r="K304" s="24">
        <f t="shared" si="137"/>
        <v>2566111.7775400002</v>
      </c>
      <c r="L304" s="24">
        <f t="shared" si="137"/>
        <v>394038.40356000001</v>
      </c>
      <c r="M304" s="24">
        <f t="shared" si="137"/>
        <v>2960150.1811000002</v>
      </c>
      <c r="N304" s="35">
        <f t="shared" si="122"/>
        <v>1931.4188999999315</v>
      </c>
      <c r="O304" s="68">
        <f>M304/I304*100</f>
        <v>99.93479521631005</v>
      </c>
      <c r="P304" s="71">
        <f t="shared" si="119"/>
        <v>3186.9833799996413</v>
      </c>
      <c r="Q304" s="35">
        <f t="shared" si="121"/>
        <v>10672.43552000029</v>
      </c>
      <c r="R304" s="72">
        <v>1103813</v>
      </c>
      <c r="S304" s="72">
        <f t="shared" si="120"/>
        <v>3270442.8188999998</v>
      </c>
      <c r="T304" s="62">
        <f t="shared" ref="T304:T333" si="138">G304-J304</f>
        <v>3267255.8355200002</v>
      </c>
    </row>
    <row r="305" spans="1:20">
      <c r="A305" s="100"/>
      <c r="B305" s="8"/>
      <c r="C305" s="8"/>
      <c r="D305" s="17" t="s">
        <v>31</v>
      </c>
      <c r="E305" s="10"/>
      <c r="F305" s="140" t="s">
        <v>130</v>
      </c>
      <c r="G305" s="59">
        <f>G306</f>
        <v>2209403</v>
      </c>
      <c r="H305" s="59">
        <f t="shared" ref="H305:M305" si="139">H306</f>
        <v>1031726</v>
      </c>
      <c r="I305" s="59">
        <f t="shared" si="139"/>
        <v>1031726</v>
      </c>
      <c r="J305" s="59">
        <f t="shared" si="139"/>
        <v>1031726</v>
      </c>
      <c r="K305" s="29">
        <f t="shared" si="139"/>
        <v>834338.23399999994</v>
      </c>
      <c r="L305" s="29">
        <f t="shared" si="139"/>
        <v>197387.766</v>
      </c>
      <c r="M305" s="29">
        <f t="shared" si="139"/>
        <v>1031726</v>
      </c>
      <c r="N305" s="35">
        <f t="shared" si="122"/>
        <v>0</v>
      </c>
      <c r="O305" s="68">
        <f t="shared" ref="O305:O323" si="140">M305/I305*100</f>
        <v>100</v>
      </c>
      <c r="P305" s="71">
        <f t="shared" si="119"/>
        <v>0</v>
      </c>
      <c r="Q305" s="35">
        <f t="shared" si="121"/>
        <v>0</v>
      </c>
      <c r="R305" s="72">
        <v>1103814</v>
      </c>
      <c r="S305" s="72">
        <f t="shared" si="120"/>
        <v>1177677</v>
      </c>
      <c r="T305" s="62">
        <f t="shared" si="138"/>
        <v>1177677</v>
      </c>
    </row>
    <row r="306" spans="1:20">
      <c r="A306" s="100"/>
      <c r="B306" s="9"/>
      <c r="C306" s="9"/>
      <c r="D306" s="69"/>
      <c r="E306" s="69">
        <v>159</v>
      </c>
      <c r="F306" s="136" t="s">
        <v>84</v>
      </c>
      <c r="G306" s="26">
        <f>3730007-768592-133813-415702-202497</f>
        <v>2209403</v>
      </c>
      <c r="H306" s="26">
        <v>1031726</v>
      </c>
      <c r="I306" s="26">
        <v>1031726</v>
      </c>
      <c r="J306" s="105">
        <f>M306</f>
        <v>1031726</v>
      </c>
      <c r="K306" s="35">
        <f>'1.09'!M270</f>
        <v>834338.23399999994</v>
      </c>
      <c r="L306" s="27">
        <v>197387.766</v>
      </c>
      <c r="M306" s="93">
        <f t="shared" si="130"/>
        <v>1031726</v>
      </c>
      <c r="N306" s="35">
        <f t="shared" si="122"/>
        <v>0</v>
      </c>
      <c r="O306" s="70">
        <f t="shared" si="140"/>
        <v>100</v>
      </c>
      <c r="P306" s="71">
        <f t="shared" si="119"/>
        <v>0</v>
      </c>
      <c r="Q306" s="35">
        <f t="shared" si="121"/>
        <v>0</v>
      </c>
      <c r="R306" s="72">
        <v>1103815</v>
      </c>
      <c r="S306" s="72">
        <f t="shared" si="120"/>
        <v>1177677</v>
      </c>
      <c r="T306" s="62">
        <f t="shared" si="138"/>
        <v>1177677</v>
      </c>
    </row>
    <row r="307" spans="1:20">
      <c r="A307" s="100"/>
      <c r="B307" s="8"/>
      <c r="C307" s="8"/>
      <c r="D307" s="17" t="s">
        <v>32</v>
      </c>
      <c r="E307" s="10"/>
      <c r="F307" s="140" t="s">
        <v>131</v>
      </c>
      <c r="G307" s="59">
        <f>G308+G309</f>
        <v>77035</v>
      </c>
      <c r="H307" s="59">
        <f t="shared" ref="H307:M307" si="141">H308+H309</f>
        <v>50828</v>
      </c>
      <c r="I307" s="59">
        <f t="shared" si="141"/>
        <v>38900</v>
      </c>
      <c r="J307" s="29">
        <f t="shared" si="141"/>
        <v>42085.669479999997</v>
      </c>
      <c r="K307" s="59">
        <f t="shared" si="141"/>
        <v>32035.67354</v>
      </c>
      <c r="L307" s="60">
        <f t="shared" si="141"/>
        <v>6863.0125600000001</v>
      </c>
      <c r="M307" s="29">
        <f t="shared" si="141"/>
        <v>38898.686099999999</v>
      </c>
      <c r="N307" s="35">
        <f t="shared" si="122"/>
        <v>1.3139000000010128</v>
      </c>
      <c r="O307" s="68">
        <f t="shared" ref="O307" si="142">O308</f>
        <v>99.999998226321381</v>
      </c>
      <c r="P307" s="71">
        <f t="shared" si="119"/>
        <v>3186.9833799999979</v>
      </c>
      <c r="Q307" s="35">
        <f t="shared" si="121"/>
        <v>8742.3305200000032</v>
      </c>
      <c r="R307" s="72">
        <v>1103816</v>
      </c>
      <c r="S307" s="72">
        <f t="shared" si="120"/>
        <v>38136.313900000001</v>
      </c>
      <c r="T307" s="62">
        <f t="shared" si="138"/>
        <v>34949.330520000003</v>
      </c>
    </row>
    <row r="308" spans="1:20">
      <c r="A308" s="100"/>
      <c r="B308" s="9"/>
      <c r="C308" s="9"/>
      <c r="D308" s="69"/>
      <c r="E308" s="69">
        <v>159</v>
      </c>
      <c r="F308" s="136" t="s">
        <v>84</v>
      </c>
      <c r="G308" s="26">
        <f>32846+12909</f>
        <v>45755</v>
      </c>
      <c r="H308" s="26">
        <v>34480</v>
      </c>
      <c r="I308" s="26">
        <v>22552</v>
      </c>
      <c r="J308" s="105">
        <v>25738.982980000001</v>
      </c>
      <c r="K308" s="35">
        <f>'1.09'!M272</f>
        <v>19464.25504</v>
      </c>
      <c r="L308" s="27">
        <v>3087.7445600000001</v>
      </c>
      <c r="M308" s="93">
        <f t="shared" si="130"/>
        <v>22551.999599999999</v>
      </c>
      <c r="N308" s="35">
        <f t="shared" si="122"/>
        <v>4.0000000080908649E-4</v>
      </c>
      <c r="O308" s="70">
        <f t="shared" si="140"/>
        <v>99.999998226321381</v>
      </c>
      <c r="P308" s="71">
        <f t="shared" si="119"/>
        <v>3186.9833800000015</v>
      </c>
      <c r="Q308" s="35">
        <f t="shared" si="121"/>
        <v>8741.0170199999993</v>
      </c>
      <c r="R308" s="72">
        <v>1103817</v>
      </c>
      <c r="S308" s="72">
        <f t="shared" si="120"/>
        <v>23203.000400000001</v>
      </c>
      <c r="T308" s="62">
        <f t="shared" si="138"/>
        <v>20016.017019999999</v>
      </c>
    </row>
    <row r="309" spans="1:20">
      <c r="A309" s="100"/>
      <c r="B309" s="9"/>
      <c r="C309" s="9"/>
      <c r="D309" s="69"/>
      <c r="E309" s="69">
        <v>322</v>
      </c>
      <c r="F309" s="133" t="s">
        <v>82</v>
      </c>
      <c r="G309" s="26">
        <v>31280</v>
      </c>
      <c r="H309" s="26">
        <v>16348</v>
      </c>
      <c r="I309" s="26">
        <v>16348</v>
      </c>
      <c r="J309" s="28">
        <f>M309</f>
        <v>16346.6865</v>
      </c>
      <c r="K309" s="35">
        <f>'1.09'!M273</f>
        <v>12571.4185</v>
      </c>
      <c r="L309" s="27">
        <v>3775.268</v>
      </c>
      <c r="M309" s="93">
        <f t="shared" si="130"/>
        <v>16346.6865</v>
      </c>
      <c r="N309" s="35">
        <f t="shared" si="122"/>
        <v>1.3135000000002037</v>
      </c>
      <c r="O309" s="70">
        <f t="shared" si="140"/>
        <v>99.991965378027885</v>
      </c>
      <c r="P309" s="71">
        <f t="shared" si="119"/>
        <v>0</v>
      </c>
      <c r="Q309" s="35">
        <f t="shared" si="121"/>
        <v>1.3135000000002037</v>
      </c>
      <c r="R309" s="72">
        <v>1103818</v>
      </c>
      <c r="S309" s="72">
        <f t="shared" si="120"/>
        <v>14933.3135</v>
      </c>
    </row>
    <row r="310" spans="1:20" ht="25.5">
      <c r="A310" s="100"/>
      <c r="B310" s="8"/>
      <c r="C310" s="8"/>
      <c r="D310" s="17" t="s">
        <v>33</v>
      </c>
      <c r="E310" s="10"/>
      <c r="F310" s="140" t="s">
        <v>132</v>
      </c>
      <c r="G310" s="59">
        <f>G311+G319+G320+G321+G322+G323</f>
        <v>3944155</v>
      </c>
      <c r="H310" s="59">
        <f t="shared" ref="H310:M310" si="143">H311+H319+H320+H321+H322+H323</f>
        <v>1891455.6</v>
      </c>
      <c r="I310" s="59">
        <f t="shared" si="143"/>
        <v>1891455.6</v>
      </c>
      <c r="J310" s="60">
        <f t="shared" si="143"/>
        <v>1889525.4950000001</v>
      </c>
      <c r="K310" s="60">
        <f t="shared" si="143"/>
        <v>1699737.87</v>
      </c>
      <c r="L310" s="29">
        <f t="shared" si="143"/>
        <v>189787.625</v>
      </c>
      <c r="M310" s="29">
        <f t="shared" si="143"/>
        <v>1889525.4950000001</v>
      </c>
      <c r="N310" s="35">
        <f t="shared" si="122"/>
        <v>1930.1049999999814</v>
      </c>
      <c r="O310" s="68">
        <f>M310/I310*100</f>
        <v>99.897956631918831</v>
      </c>
      <c r="P310" s="71">
        <f>J310-M310</f>
        <v>0</v>
      </c>
      <c r="Q310" s="35">
        <f t="shared" si="121"/>
        <v>1930.1049999999814</v>
      </c>
      <c r="R310" s="72">
        <v>1103819</v>
      </c>
      <c r="S310" s="72">
        <f t="shared" si="120"/>
        <v>2054629.5049999999</v>
      </c>
      <c r="T310" s="62">
        <f t="shared" si="138"/>
        <v>2054629.5049999999</v>
      </c>
    </row>
    <row r="311" spans="1:20">
      <c r="A311" s="100"/>
      <c r="B311" s="9"/>
      <c r="C311" s="9"/>
      <c r="D311" s="69"/>
      <c r="E311" s="69">
        <v>159</v>
      </c>
      <c r="F311" s="141" t="s">
        <v>84</v>
      </c>
      <c r="G311" s="26">
        <f>SUM(G312:G318)</f>
        <v>3138252</v>
      </c>
      <c r="H311" s="26">
        <f>SUM(H312:H318)</f>
        <v>1559496.5</v>
      </c>
      <c r="I311" s="26">
        <f>SUM(I312:I318)</f>
        <v>1559496.5</v>
      </c>
      <c r="J311" s="26">
        <f t="shared" ref="J311:M311" si="144">SUM(J312:J318)</f>
        <v>1559496.5</v>
      </c>
      <c r="K311" s="26">
        <f t="shared" si="144"/>
        <v>1366589.5</v>
      </c>
      <c r="L311" s="28">
        <f t="shared" si="144"/>
        <v>192907</v>
      </c>
      <c r="M311" s="27">
        <f t="shared" si="144"/>
        <v>1559496.5</v>
      </c>
      <c r="N311" s="35">
        <f t="shared" si="122"/>
        <v>0</v>
      </c>
      <c r="O311" s="70">
        <f t="shared" si="140"/>
        <v>100</v>
      </c>
      <c r="P311" s="71">
        <f t="shared" si="119"/>
        <v>0</v>
      </c>
      <c r="Q311" s="35">
        <f t="shared" si="121"/>
        <v>0</v>
      </c>
      <c r="R311" s="72">
        <v>1103820</v>
      </c>
      <c r="S311" s="72">
        <f t="shared" si="120"/>
        <v>1578755.5</v>
      </c>
      <c r="T311" s="62">
        <f t="shared" si="138"/>
        <v>1578755.5</v>
      </c>
    </row>
    <row r="312" spans="1:20">
      <c r="A312" s="100"/>
      <c r="B312" s="9"/>
      <c r="C312" s="9"/>
      <c r="D312" s="69"/>
      <c r="E312" s="69"/>
      <c r="F312" s="55" t="s">
        <v>49</v>
      </c>
      <c r="G312" s="26">
        <v>1124154</v>
      </c>
      <c r="H312" s="61">
        <f>2050+93053-1993.6+82986.9+75619.1+73890.1+68932.7+67474.8+70474+79662.8</f>
        <v>612149.80000000005</v>
      </c>
      <c r="I312" s="61">
        <f>H312</f>
        <v>612149.80000000005</v>
      </c>
      <c r="J312" s="105">
        <f>M312</f>
        <v>612149.80000000005</v>
      </c>
      <c r="K312" s="35">
        <f>'1.09'!M276</f>
        <v>532487</v>
      </c>
      <c r="L312" s="22">
        <v>79662.8</v>
      </c>
      <c r="M312" s="93">
        <f>K312+L312</f>
        <v>612149.80000000005</v>
      </c>
      <c r="N312" s="35">
        <f t="shared" si="122"/>
        <v>0</v>
      </c>
      <c r="O312" s="70">
        <f t="shared" si="140"/>
        <v>100</v>
      </c>
      <c r="P312" s="71">
        <f t="shared" si="119"/>
        <v>0</v>
      </c>
      <c r="Q312" s="35">
        <f t="shared" si="121"/>
        <v>0</v>
      </c>
      <c r="R312" s="72">
        <v>1103821</v>
      </c>
      <c r="S312" s="72">
        <f t="shared" si="120"/>
        <v>512004.19999999995</v>
      </c>
    </row>
    <row r="313" spans="1:20">
      <c r="A313" s="100"/>
      <c r="B313" s="9"/>
      <c r="C313" s="9"/>
      <c r="D313" s="69"/>
      <c r="E313" s="69"/>
      <c r="F313" s="55" t="s">
        <v>50</v>
      </c>
      <c r="G313" s="26">
        <v>130399</v>
      </c>
      <c r="H313" s="61">
        <f>26080-3722.9+19165.6+15755.3+13651.8+12342.2+11584.1+10969.6+10177.2</f>
        <v>116002.90000000001</v>
      </c>
      <c r="I313" s="61">
        <f t="shared" ref="I313:I318" si="145">H313</f>
        <v>116002.90000000001</v>
      </c>
      <c r="J313" s="105">
        <f t="shared" ref="J313:J319" si="146">M313</f>
        <v>116002.90000000001</v>
      </c>
      <c r="K313" s="35">
        <f>'1.09'!M277</f>
        <v>105825.70000000001</v>
      </c>
      <c r="L313" s="22">
        <v>10177.200000000001</v>
      </c>
      <c r="M313" s="93">
        <f t="shared" ref="M313:M318" si="147">K313+L313</f>
        <v>116002.90000000001</v>
      </c>
      <c r="N313" s="35">
        <f t="shared" si="122"/>
        <v>0</v>
      </c>
      <c r="O313" s="70">
        <f t="shared" si="140"/>
        <v>100</v>
      </c>
      <c r="P313" s="71">
        <f t="shared" si="119"/>
        <v>0</v>
      </c>
      <c r="Q313" s="35">
        <f t="shared" si="121"/>
        <v>0</v>
      </c>
      <c r="R313" s="72">
        <v>1103822</v>
      </c>
      <c r="S313" s="72">
        <f t="shared" si="120"/>
        <v>14396.099999999991</v>
      </c>
    </row>
    <row r="314" spans="1:20" hidden="1">
      <c r="A314" s="100"/>
      <c r="B314" s="9"/>
      <c r="C314" s="9"/>
      <c r="D314" s="69"/>
      <c r="E314" s="69"/>
      <c r="F314" s="55" t="s">
        <v>51</v>
      </c>
      <c r="G314" s="26"/>
      <c r="H314" s="61"/>
      <c r="I314" s="61">
        <f t="shared" si="145"/>
        <v>0</v>
      </c>
      <c r="J314" s="105">
        <f t="shared" si="146"/>
        <v>0</v>
      </c>
      <c r="K314" s="35">
        <f>'1.09'!M278</f>
        <v>0</v>
      </c>
      <c r="L314" s="22"/>
      <c r="M314" s="93">
        <f t="shared" si="147"/>
        <v>0</v>
      </c>
      <c r="N314" s="35">
        <f t="shared" si="122"/>
        <v>0</v>
      </c>
      <c r="O314" s="70" t="e">
        <f t="shared" si="140"/>
        <v>#DIV/0!</v>
      </c>
      <c r="P314" s="71">
        <f t="shared" si="119"/>
        <v>0</v>
      </c>
      <c r="Q314" s="35">
        <f t="shared" si="121"/>
        <v>0</v>
      </c>
      <c r="R314" s="72">
        <v>1103823</v>
      </c>
      <c r="S314" s="72">
        <f t="shared" si="120"/>
        <v>0</v>
      </c>
    </row>
    <row r="315" spans="1:20" hidden="1">
      <c r="A315" s="100"/>
      <c r="B315" s="9"/>
      <c r="C315" s="9"/>
      <c r="D315" s="69"/>
      <c r="E315" s="69"/>
      <c r="F315" s="55" t="s">
        <v>52</v>
      </c>
      <c r="G315" s="26"/>
      <c r="H315" s="61"/>
      <c r="I315" s="61">
        <f t="shared" si="145"/>
        <v>0</v>
      </c>
      <c r="J315" s="105">
        <f t="shared" si="146"/>
        <v>0</v>
      </c>
      <c r="K315" s="35">
        <f>'1.09'!M279</f>
        <v>0</v>
      </c>
      <c r="L315" s="22"/>
      <c r="M315" s="93">
        <f t="shared" si="147"/>
        <v>0</v>
      </c>
      <c r="N315" s="35">
        <f t="shared" si="122"/>
        <v>0</v>
      </c>
      <c r="O315" s="70" t="e">
        <f t="shared" si="140"/>
        <v>#DIV/0!</v>
      </c>
      <c r="P315" s="71">
        <f t="shared" si="119"/>
        <v>0</v>
      </c>
      <c r="Q315" s="35">
        <f t="shared" si="121"/>
        <v>0</v>
      </c>
      <c r="R315" s="72">
        <v>1103824</v>
      </c>
      <c r="S315" s="72">
        <f t="shared" si="120"/>
        <v>0</v>
      </c>
    </row>
    <row r="316" spans="1:20">
      <c r="A316" s="100"/>
      <c r="B316" s="9"/>
      <c r="C316" s="9"/>
      <c r="D316" s="69"/>
      <c r="E316" s="69"/>
      <c r="F316" s="55" t="s">
        <v>53</v>
      </c>
      <c r="G316" s="26">
        <v>236664</v>
      </c>
      <c r="H316" s="61">
        <f>2906-1667.6+4700+5843.7+9331.6+10362.3+11803.4+13295.6+13269</f>
        <v>69844</v>
      </c>
      <c r="I316" s="61">
        <f t="shared" si="145"/>
        <v>69844</v>
      </c>
      <c r="J316" s="105">
        <f t="shared" si="146"/>
        <v>69844</v>
      </c>
      <c r="K316" s="35">
        <f>'1.09'!M280</f>
        <v>56574.999999999993</v>
      </c>
      <c r="L316" s="22">
        <v>13269</v>
      </c>
      <c r="M316" s="93">
        <f t="shared" si="147"/>
        <v>69844</v>
      </c>
      <c r="N316" s="35">
        <f t="shared" si="122"/>
        <v>0</v>
      </c>
      <c r="O316" s="70">
        <f t="shared" si="140"/>
        <v>100</v>
      </c>
      <c r="P316" s="71">
        <f t="shared" si="119"/>
        <v>0</v>
      </c>
      <c r="Q316" s="35">
        <f t="shared" si="121"/>
        <v>0</v>
      </c>
      <c r="R316" s="72">
        <v>1103825</v>
      </c>
      <c r="S316" s="72">
        <f t="shared" si="120"/>
        <v>166820</v>
      </c>
    </row>
    <row r="317" spans="1:20">
      <c r="A317" s="100"/>
      <c r="B317" s="9"/>
      <c r="C317" s="9"/>
      <c r="D317" s="69"/>
      <c r="E317" s="69"/>
      <c r="F317" s="55" t="s">
        <v>54</v>
      </c>
      <c r="G317" s="26">
        <v>27612</v>
      </c>
      <c r="H317" s="61">
        <f>2111-228.7+1923.4+1926.2+1992.5+2070+2252+2311.4+2256.3</f>
        <v>16614.099999999999</v>
      </c>
      <c r="I317" s="61">
        <f t="shared" si="145"/>
        <v>16614.099999999999</v>
      </c>
      <c r="J317" s="105">
        <f t="shared" si="146"/>
        <v>16614.099999999999</v>
      </c>
      <c r="K317" s="35">
        <f>'1.09'!M281</f>
        <v>14357.8</v>
      </c>
      <c r="L317" s="22">
        <v>2256.3000000000002</v>
      </c>
      <c r="M317" s="93">
        <f t="shared" si="147"/>
        <v>16614.099999999999</v>
      </c>
      <c r="N317" s="35">
        <f t="shared" si="122"/>
        <v>0</v>
      </c>
      <c r="O317" s="70">
        <f t="shared" si="140"/>
        <v>100</v>
      </c>
      <c r="P317" s="71">
        <f t="shared" si="119"/>
        <v>0</v>
      </c>
      <c r="Q317" s="35">
        <f t="shared" si="121"/>
        <v>0</v>
      </c>
      <c r="R317" s="72">
        <v>1103826</v>
      </c>
      <c r="S317" s="72">
        <f t="shared" si="120"/>
        <v>10997.900000000001</v>
      </c>
    </row>
    <row r="318" spans="1:20">
      <c r="A318" s="100"/>
      <c r="B318" s="9"/>
      <c r="C318" s="9"/>
      <c r="D318" s="69"/>
      <c r="E318" s="69"/>
      <c r="F318" s="55" t="s">
        <v>55</v>
      </c>
      <c r="G318" s="26">
        <f>1186640+432783</f>
        <v>1619423</v>
      </c>
      <c r="H318" s="61">
        <f>101338-7295.2+96749.1+95542.4+95417+93929.1+91995.7+89667.9+87541.7</f>
        <v>744885.7</v>
      </c>
      <c r="I318" s="61">
        <f t="shared" si="145"/>
        <v>744885.7</v>
      </c>
      <c r="J318" s="105">
        <f t="shared" si="146"/>
        <v>744885.69999999984</v>
      </c>
      <c r="K318" s="35">
        <f>'1.09'!M282</f>
        <v>657343.99999999988</v>
      </c>
      <c r="L318" s="22">
        <v>87541.7</v>
      </c>
      <c r="M318" s="93">
        <f t="shared" si="147"/>
        <v>744885.69999999984</v>
      </c>
      <c r="N318" s="35">
        <f t="shared" si="122"/>
        <v>0</v>
      </c>
      <c r="O318" s="70">
        <f t="shared" si="140"/>
        <v>99.999999999999986</v>
      </c>
      <c r="P318" s="71">
        <f t="shared" si="119"/>
        <v>0</v>
      </c>
      <c r="Q318" s="35">
        <f t="shared" si="121"/>
        <v>0</v>
      </c>
      <c r="R318" s="72">
        <v>1103827</v>
      </c>
      <c r="S318" s="72">
        <f t="shared" si="120"/>
        <v>874537.30000000016</v>
      </c>
    </row>
    <row r="319" spans="1:20" hidden="1">
      <c r="A319" s="100"/>
      <c r="B319" s="9"/>
      <c r="C319" s="9"/>
      <c r="D319" s="69"/>
      <c r="E319" s="69">
        <v>169</v>
      </c>
      <c r="F319" s="3" t="s">
        <v>5</v>
      </c>
      <c r="G319" s="26">
        <f>503430+67470-570900</f>
        <v>0</v>
      </c>
      <c r="H319" s="26"/>
      <c r="I319" s="26"/>
      <c r="J319" s="105">
        <f t="shared" si="146"/>
        <v>0</v>
      </c>
      <c r="K319" s="35">
        <f>'1.09'!M283</f>
        <v>0</v>
      </c>
      <c r="L319" s="27"/>
      <c r="M319" s="93">
        <f>K319+L319</f>
        <v>0</v>
      </c>
      <c r="N319" s="35">
        <f t="shared" si="122"/>
        <v>0</v>
      </c>
      <c r="O319" s="70" t="e">
        <f t="shared" si="140"/>
        <v>#DIV/0!</v>
      </c>
      <c r="P319" s="71">
        <f t="shared" si="119"/>
        <v>0</v>
      </c>
      <c r="Q319" s="35">
        <f t="shared" si="121"/>
        <v>0</v>
      </c>
      <c r="R319" s="72">
        <v>1103828</v>
      </c>
      <c r="S319" s="72">
        <f t="shared" si="120"/>
        <v>0</v>
      </c>
      <c r="T319" s="62">
        <f t="shared" si="138"/>
        <v>0</v>
      </c>
    </row>
    <row r="320" spans="1:20" hidden="1">
      <c r="A320" s="100"/>
      <c r="B320" s="9"/>
      <c r="C320" s="9"/>
      <c r="D320" s="69"/>
      <c r="E320" s="69">
        <v>311</v>
      </c>
      <c r="F320" s="3" t="s">
        <v>45</v>
      </c>
      <c r="G320" s="26"/>
      <c r="H320" s="26"/>
      <c r="I320" s="26"/>
      <c r="J320" s="105">
        <f>M320</f>
        <v>0</v>
      </c>
      <c r="K320" s="35">
        <f>'1.09'!M284</f>
        <v>0</v>
      </c>
      <c r="L320" s="27"/>
      <c r="M320" s="93">
        <f>K320+L320</f>
        <v>0</v>
      </c>
      <c r="N320" s="35">
        <f t="shared" si="122"/>
        <v>0</v>
      </c>
      <c r="O320" s="70" t="e">
        <f t="shared" si="140"/>
        <v>#DIV/0!</v>
      </c>
      <c r="P320" s="71">
        <f t="shared" si="119"/>
        <v>0</v>
      </c>
      <c r="Q320" s="35">
        <f t="shared" si="121"/>
        <v>0</v>
      </c>
      <c r="R320" s="72">
        <v>1103829</v>
      </c>
      <c r="S320" s="72">
        <f t="shared" si="120"/>
        <v>0</v>
      </c>
    </row>
    <row r="321" spans="1:20">
      <c r="A321" s="100"/>
      <c r="B321" s="9"/>
      <c r="C321" s="9"/>
      <c r="D321" s="69"/>
      <c r="E321" s="69">
        <v>313</v>
      </c>
      <c r="F321" s="3" t="s">
        <v>165</v>
      </c>
      <c r="G321" s="26">
        <f>10853+224150</f>
        <v>235003</v>
      </c>
      <c r="H321" s="26">
        <v>65869.8</v>
      </c>
      <c r="I321" s="26">
        <v>65869.8</v>
      </c>
      <c r="J321" s="105">
        <f>M321</f>
        <v>65869.75</v>
      </c>
      <c r="K321" s="35">
        <f>'1.09'!M285</f>
        <v>65329.125</v>
      </c>
      <c r="L321" s="27">
        <v>540.625</v>
      </c>
      <c r="M321" s="93">
        <f>K321+L321</f>
        <v>65869.75</v>
      </c>
      <c r="N321" s="35">
        <f t="shared" si="122"/>
        <v>5.0000000002910383E-2</v>
      </c>
      <c r="O321" s="70">
        <f t="shared" si="140"/>
        <v>99.999924092679791</v>
      </c>
      <c r="P321" s="71">
        <f t="shared" si="119"/>
        <v>0</v>
      </c>
      <c r="Q321" s="35">
        <f t="shared" si="121"/>
        <v>5.0000000002910383E-2</v>
      </c>
      <c r="R321" s="72">
        <v>1103829</v>
      </c>
      <c r="S321" s="72">
        <f t="shared" si="120"/>
        <v>169133.25</v>
      </c>
    </row>
    <row r="322" spans="1:20" ht="25.5" hidden="1">
      <c r="A322" s="100"/>
      <c r="B322" s="9"/>
      <c r="C322" s="9"/>
      <c r="D322" s="69"/>
      <c r="E322" s="69">
        <v>372</v>
      </c>
      <c r="F322" s="3" t="s">
        <v>169</v>
      </c>
      <c r="G322" s="26">
        <f>570900-570900</f>
        <v>0</v>
      </c>
      <c r="H322" s="26"/>
      <c r="I322" s="26"/>
      <c r="J322" s="105"/>
      <c r="K322" s="35">
        <f>'1.09'!M286</f>
        <v>0</v>
      </c>
      <c r="L322" s="27"/>
      <c r="M322" s="93">
        <f>K322+L322</f>
        <v>0</v>
      </c>
      <c r="N322" s="35">
        <f t="shared" si="122"/>
        <v>0</v>
      </c>
      <c r="O322" s="70" t="e">
        <f t="shared" si="140"/>
        <v>#DIV/0!</v>
      </c>
      <c r="P322" s="71">
        <f t="shared" si="119"/>
        <v>0</v>
      </c>
      <c r="Q322" s="35">
        <f t="shared" si="121"/>
        <v>0</v>
      </c>
      <c r="R322" s="72">
        <v>1103830</v>
      </c>
      <c r="S322" s="72">
        <f t="shared" si="120"/>
        <v>0</v>
      </c>
    </row>
    <row r="323" spans="1:20">
      <c r="A323" s="100"/>
      <c r="B323" s="9"/>
      <c r="C323" s="9"/>
      <c r="D323" s="69"/>
      <c r="E323" s="69">
        <v>374</v>
      </c>
      <c r="F323" s="3" t="s">
        <v>171</v>
      </c>
      <c r="G323" s="26">
        <v>570900</v>
      </c>
      <c r="H323" s="26">
        <v>266089.3</v>
      </c>
      <c r="I323" s="26">
        <v>266089.3</v>
      </c>
      <c r="J323" s="105">
        <f>M323</f>
        <v>264159.245</v>
      </c>
      <c r="K323" s="35">
        <f>'1.09'!M287</f>
        <v>267819.245</v>
      </c>
      <c r="L323" s="27">
        <v>-3660</v>
      </c>
      <c r="M323" s="93">
        <f>K323+L323</f>
        <v>264159.245</v>
      </c>
      <c r="N323" s="35">
        <f t="shared" si="122"/>
        <v>1930.054999999993</v>
      </c>
      <c r="O323" s="70">
        <f t="shared" si="140"/>
        <v>99.274658920896115</v>
      </c>
      <c r="P323" s="71"/>
      <c r="Q323" s="35">
        <f t="shared" si="121"/>
        <v>1930.054999999993</v>
      </c>
      <c r="R323" s="72"/>
      <c r="S323" s="72"/>
    </row>
    <row r="324" spans="1:20" s="73" customFormat="1" ht="25.5">
      <c r="A324" s="103"/>
      <c r="B324" s="8"/>
      <c r="C324" s="17" t="s">
        <v>34</v>
      </c>
      <c r="D324" s="21"/>
      <c r="E324" s="21"/>
      <c r="F324" s="125" t="s">
        <v>134</v>
      </c>
      <c r="G324" s="23">
        <f>G325</f>
        <v>10428</v>
      </c>
      <c r="H324" s="23">
        <f t="shared" ref="H324:O324" si="148">H325</f>
        <v>10380</v>
      </c>
      <c r="I324" s="23">
        <f t="shared" si="148"/>
        <v>10380</v>
      </c>
      <c r="J324" s="38">
        <f t="shared" si="148"/>
        <v>9082.5</v>
      </c>
      <c r="K324" s="38">
        <f t="shared" si="148"/>
        <v>9082.5</v>
      </c>
      <c r="L324" s="23">
        <f t="shared" si="148"/>
        <v>0</v>
      </c>
      <c r="M324" s="24">
        <f t="shared" si="148"/>
        <v>9082.5</v>
      </c>
      <c r="N324" s="35">
        <f t="shared" si="122"/>
        <v>1297.5</v>
      </c>
      <c r="O324" s="39">
        <f t="shared" si="148"/>
        <v>87.5</v>
      </c>
      <c r="P324" s="71">
        <f t="shared" si="119"/>
        <v>0</v>
      </c>
      <c r="Q324" s="35">
        <f t="shared" si="121"/>
        <v>1297.5</v>
      </c>
      <c r="R324" s="72">
        <v>1103830</v>
      </c>
      <c r="S324" s="72">
        <f t="shared" si="120"/>
        <v>1345.5</v>
      </c>
      <c r="T324" s="62">
        <f t="shared" si="138"/>
        <v>1345.5</v>
      </c>
    </row>
    <row r="325" spans="1:20">
      <c r="A325" s="100"/>
      <c r="B325" s="8"/>
      <c r="C325" s="8"/>
      <c r="D325" s="17" t="s">
        <v>7</v>
      </c>
      <c r="E325" s="10"/>
      <c r="F325" s="135" t="s">
        <v>85</v>
      </c>
      <c r="G325" s="59">
        <f>SUM(G326:G328)</f>
        <v>10428</v>
      </c>
      <c r="H325" s="59">
        <f t="shared" ref="H325:M325" si="149">SUM(H326:H328)</f>
        <v>10380</v>
      </c>
      <c r="I325" s="59">
        <f t="shared" si="149"/>
        <v>10380</v>
      </c>
      <c r="J325" s="59">
        <f t="shared" si="149"/>
        <v>9082.5</v>
      </c>
      <c r="K325" s="59">
        <f t="shared" si="149"/>
        <v>9082.5</v>
      </c>
      <c r="L325" s="59">
        <f t="shared" si="149"/>
        <v>0</v>
      </c>
      <c r="M325" s="59">
        <f t="shared" si="149"/>
        <v>9082.5</v>
      </c>
      <c r="N325" s="35">
        <f t="shared" si="122"/>
        <v>1297.5</v>
      </c>
      <c r="O325" s="68">
        <f>M325/I325*100</f>
        <v>87.5</v>
      </c>
      <c r="P325" s="59">
        <f>SUM(P326:P328)</f>
        <v>0</v>
      </c>
      <c r="Q325" s="35">
        <f t="shared" si="121"/>
        <v>1297.5</v>
      </c>
      <c r="R325" s="59">
        <f t="shared" ref="R325:S325" si="150">SUM(R326:R328)</f>
        <v>3311499</v>
      </c>
      <c r="S325" s="59">
        <f t="shared" si="150"/>
        <v>1345.5</v>
      </c>
      <c r="T325" s="62">
        <f t="shared" si="138"/>
        <v>1345.5</v>
      </c>
    </row>
    <row r="326" spans="1:20" hidden="1">
      <c r="A326" s="100"/>
      <c r="B326" s="9"/>
      <c r="C326" s="9"/>
      <c r="D326" s="69"/>
      <c r="E326" s="69">
        <v>311</v>
      </c>
      <c r="F326" s="3" t="s">
        <v>40</v>
      </c>
      <c r="G326" s="26">
        <f>10428-10428</f>
        <v>0</v>
      </c>
      <c r="H326" s="26"/>
      <c r="I326" s="26"/>
      <c r="J326" s="105">
        <f>M326</f>
        <v>0</v>
      </c>
      <c r="K326" s="35">
        <f>'1.09'!M290</f>
        <v>0</v>
      </c>
      <c r="L326" s="27"/>
      <c r="M326" s="93">
        <f>K326+L326</f>
        <v>0</v>
      </c>
      <c r="N326" s="35">
        <f t="shared" si="122"/>
        <v>0</v>
      </c>
      <c r="O326" s="70" t="e">
        <f>M326/I326*100</f>
        <v>#DIV/0!</v>
      </c>
      <c r="P326" s="71">
        <f t="shared" si="119"/>
        <v>0</v>
      </c>
      <c r="Q326" s="35">
        <f t="shared" ref="Q326:Q362" si="151">H326-J326</f>
        <v>0</v>
      </c>
      <c r="R326" s="72">
        <v>1103832</v>
      </c>
      <c r="S326" s="72">
        <f t="shared" si="120"/>
        <v>0</v>
      </c>
      <c r="T326" s="62">
        <f t="shared" si="138"/>
        <v>0</v>
      </c>
    </row>
    <row r="327" spans="1:20">
      <c r="A327" s="100"/>
      <c r="B327" s="9"/>
      <c r="C327" s="9"/>
      <c r="D327" s="69"/>
      <c r="E327" s="69">
        <v>312</v>
      </c>
      <c r="F327" s="3" t="s">
        <v>166</v>
      </c>
      <c r="G327" s="26">
        <f>10428-6487.5</f>
        <v>3940.5</v>
      </c>
      <c r="H327" s="26">
        <v>3892.5</v>
      </c>
      <c r="I327" s="26">
        <v>3892.5</v>
      </c>
      <c r="J327" s="105">
        <f>M327</f>
        <v>3892.5</v>
      </c>
      <c r="K327" s="35">
        <f>'1.09'!M291</f>
        <v>3892.5</v>
      </c>
      <c r="L327" s="27"/>
      <c r="M327" s="93">
        <f>K327+L327</f>
        <v>3892.5</v>
      </c>
      <c r="N327" s="35">
        <f t="shared" si="122"/>
        <v>0</v>
      </c>
      <c r="O327" s="70">
        <f>M327/I327*100</f>
        <v>100</v>
      </c>
      <c r="P327" s="71">
        <f t="shared" si="119"/>
        <v>0</v>
      </c>
      <c r="Q327" s="35">
        <f t="shared" si="151"/>
        <v>0</v>
      </c>
      <c r="R327" s="72">
        <v>1103833</v>
      </c>
      <c r="S327" s="72">
        <f t="shared" si="120"/>
        <v>48</v>
      </c>
    </row>
    <row r="328" spans="1:20">
      <c r="A328" s="100"/>
      <c r="B328" s="9"/>
      <c r="C328" s="9"/>
      <c r="D328" s="69"/>
      <c r="E328" s="69">
        <v>313</v>
      </c>
      <c r="F328" s="3" t="s">
        <v>172</v>
      </c>
      <c r="G328" s="26">
        <v>6487.5</v>
      </c>
      <c r="H328" s="26">
        <v>6487.5</v>
      </c>
      <c r="I328" s="26">
        <v>6487.5</v>
      </c>
      <c r="J328" s="105">
        <f>M328</f>
        <v>5190</v>
      </c>
      <c r="K328" s="35">
        <f>'1.09'!M292</f>
        <v>5190</v>
      </c>
      <c r="L328" s="27"/>
      <c r="M328" s="93">
        <f>K328+L328</f>
        <v>5190</v>
      </c>
      <c r="N328" s="35">
        <f t="shared" si="122"/>
        <v>1297.5</v>
      </c>
      <c r="O328" s="70">
        <f>M328/I328*100</f>
        <v>80</v>
      </c>
      <c r="P328" s="71">
        <f t="shared" si="119"/>
        <v>0</v>
      </c>
      <c r="Q328" s="35">
        <f t="shared" si="151"/>
        <v>1297.5</v>
      </c>
      <c r="R328" s="72">
        <v>1103834</v>
      </c>
      <c r="S328" s="72">
        <f t="shared" si="120"/>
        <v>1297.5</v>
      </c>
    </row>
    <row r="329" spans="1:20" s="73" customFormat="1">
      <c r="A329" s="8"/>
      <c r="B329" s="58">
        <v>1268</v>
      </c>
      <c r="C329" s="8"/>
      <c r="D329" s="21"/>
      <c r="E329" s="21"/>
      <c r="F329" s="143" t="s">
        <v>135</v>
      </c>
      <c r="G329" s="59">
        <f>G330+G359</f>
        <v>662210</v>
      </c>
      <c r="H329" s="59">
        <f t="shared" ref="H329:M329" si="152">H330+H359</f>
        <v>359355.8</v>
      </c>
      <c r="I329" s="59">
        <f t="shared" si="152"/>
        <v>309996.60000000003</v>
      </c>
      <c r="J329" s="29">
        <f t="shared" si="152"/>
        <v>357026.05425999995</v>
      </c>
      <c r="K329" s="29">
        <f>'1.02.'!M262</f>
        <v>2434.3649999999998</v>
      </c>
      <c r="L329" s="60">
        <f t="shared" si="152"/>
        <v>64772.094799999999</v>
      </c>
      <c r="M329" s="29">
        <f t="shared" si="152"/>
        <v>309670.40513999993</v>
      </c>
      <c r="N329" s="35">
        <f t="shared" si="122"/>
        <v>326.19486000010511</v>
      </c>
      <c r="O329" s="68">
        <f t="shared" ref="O329:O333" si="153">M329/I329*100</f>
        <v>99.894774697528916</v>
      </c>
      <c r="P329" s="71">
        <f t="shared" si="119"/>
        <v>47355.649120000016</v>
      </c>
      <c r="Q329" s="35">
        <f t="shared" si="151"/>
        <v>2329.7457400000421</v>
      </c>
      <c r="R329" s="72">
        <v>1103833</v>
      </c>
      <c r="S329" s="72">
        <f t="shared" si="120"/>
        <v>352539.59486000007</v>
      </c>
      <c r="T329" s="62">
        <f t="shared" si="138"/>
        <v>305183.94574000005</v>
      </c>
    </row>
    <row r="330" spans="1:20" ht="25.5">
      <c r="A330" s="8"/>
      <c r="B330" s="8"/>
      <c r="C330" s="17" t="s">
        <v>38</v>
      </c>
      <c r="D330" s="17"/>
      <c r="E330" s="21"/>
      <c r="F330" s="139" t="s">
        <v>121</v>
      </c>
      <c r="G330" s="42">
        <f>G338</f>
        <v>605263</v>
      </c>
      <c r="H330" s="42">
        <f t="shared" ref="H330:M330" si="154">H338</f>
        <v>310741</v>
      </c>
      <c r="I330" s="42">
        <f t="shared" si="154"/>
        <v>268866.80000000005</v>
      </c>
      <c r="J330" s="60">
        <f t="shared" si="154"/>
        <v>309915.41510999994</v>
      </c>
      <c r="K330" s="29">
        <f>'1.02.'!M263</f>
        <v>2434.3649999999998</v>
      </c>
      <c r="L330" s="60">
        <f t="shared" si="154"/>
        <v>56155.407930000001</v>
      </c>
      <c r="M330" s="29">
        <f t="shared" si="154"/>
        <v>268714.64826999995</v>
      </c>
      <c r="N330" s="35">
        <f t="shared" ref="N330:N362" si="155">I330-M330</f>
        <v>152.15173000009963</v>
      </c>
      <c r="O330" s="68">
        <f t="shared" si="153"/>
        <v>99.943409997069139</v>
      </c>
      <c r="P330" s="71">
        <f t="shared" si="119"/>
        <v>41200.766839999997</v>
      </c>
      <c r="Q330" s="35">
        <f t="shared" si="151"/>
        <v>825.58489000005648</v>
      </c>
      <c r="R330" s="72">
        <v>1103834</v>
      </c>
      <c r="S330" s="72">
        <f t="shared" si="120"/>
        <v>336548.35173000005</v>
      </c>
      <c r="T330" s="62">
        <f t="shared" si="138"/>
        <v>295347.58489000006</v>
      </c>
    </row>
    <row r="331" spans="1:20" hidden="1">
      <c r="A331" s="8"/>
      <c r="B331" s="8"/>
      <c r="C331" s="8"/>
      <c r="D331" s="17" t="s">
        <v>28</v>
      </c>
      <c r="E331" s="10"/>
      <c r="F331" s="135" t="s">
        <v>85</v>
      </c>
      <c r="G331" s="42">
        <f>SUM(G332:G337)</f>
        <v>0</v>
      </c>
      <c r="H331" s="42">
        <f t="shared" ref="H331:M331" si="156">SUM(H332:H337)</f>
        <v>0</v>
      </c>
      <c r="I331" s="42">
        <f t="shared" si="156"/>
        <v>0</v>
      </c>
      <c r="J331" s="33" t="e">
        <f t="shared" si="156"/>
        <v>#REF!</v>
      </c>
      <c r="K331" s="29" t="e">
        <f>'1.02.'!M264</f>
        <v>#REF!</v>
      </c>
      <c r="L331" s="33">
        <f t="shared" si="156"/>
        <v>0</v>
      </c>
      <c r="M331" s="29" t="e">
        <f t="shared" si="156"/>
        <v>#REF!</v>
      </c>
      <c r="N331" s="35" t="e">
        <f t="shared" si="155"/>
        <v>#REF!</v>
      </c>
      <c r="O331" s="68" t="e">
        <f t="shared" si="153"/>
        <v>#REF!</v>
      </c>
      <c r="P331" s="71" t="e">
        <f t="shared" si="119"/>
        <v>#REF!</v>
      </c>
      <c r="Q331" s="35" t="e">
        <f t="shared" si="151"/>
        <v>#REF!</v>
      </c>
      <c r="R331" s="72">
        <v>1103835</v>
      </c>
      <c r="S331" s="72" t="e">
        <f t="shared" si="120"/>
        <v>#REF!</v>
      </c>
      <c r="T331" s="62" t="e">
        <f t="shared" si="138"/>
        <v>#REF!</v>
      </c>
    </row>
    <row r="332" spans="1:20" s="73" customFormat="1" hidden="1">
      <c r="A332" s="9"/>
      <c r="B332" s="9"/>
      <c r="C332" s="9"/>
      <c r="D332" s="69"/>
      <c r="E332" s="69">
        <v>111</v>
      </c>
      <c r="F332" s="3" t="s">
        <v>0</v>
      </c>
      <c r="G332" s="26"/>
      <c r="H332" s="26"/>
      <c r="I332" s="26"/>
      <c r="J332" s="105" t="e">
        <f t="shared" ref="J332:J337" si="157">M332</f>
        <v>#REF!</v>
      </c>
      <c r="K332" s="29" t="e">
        <f>'1.02.'!M265</f>
        <v>#REF!</v>
      </c>
      <c r="L332" s="27"/>
      <c r="M332" s="35" t="e">
        <f t="shared" ref="M332:M337" si="158">K332+L332</f>
        <v>#REF!</v>
      </c>
      <c r="N332" s="35" t="e">
        <f t="shared" si="155"/>
        <v>#REF!</v>
      </c>
      <c r="O332" s="70" t="e">
        <f t="shared" si="153"/>
        <v>#REF!</v>
      </c>
      <c r="P332" s="71" t="e">
        <f t="shared" si="119"/>
        <v>#REF!</v>
      </c>
      <c r="Q332" s="35" t="e">
        <f t="shared" si="151"/>
        <v>#REF!</v>
      </c>
      <c r="R332" s="72">
        <v>1103836</v>
      </c>
      <c r="S332" s="72" t="e">
        <f t="shared" si="120"/>
        <v>#REF!</v>
      </c>
      <c r="T332" s="62" t="e">
        <f t="shared" si="138"/>
        <v>#REF!</v>
      </c>
    </row>
    <row r="333" spans="1:20" hidden="1">
      <c r="A333" s="9"/>
      <c r="B333" s="9"/>
      <c r="C333" s="9"/>
      <c r="D333" s="69"/>
      <c r="E333" s="76">
        <v>113</v>
      </c>
      <c r="F333" s="3" t="s">
        <v>1</v>
      </c>
      <c r="G333" s="26"/>
      <c r="H333" s="26"/>
      <c r="I333" s="26"/>
      <c r="J333" s="105" t="e">
        <f t="shared" si="157"/>
        <v>#REF!</v>
      </c>
      <c r="K333" s="29" t="e">
        <f>'1.02.'!M266</f>
        <v>#REF!</v>
      </c>
      <c r="L333" s="27"/>
      <c r="M333" s="35" t="e">
        <f t="shared" si="158"/>
        <v>#REF!</v>
      </c>
      <c r="N333" s="35" t="e">
        <f t="shared" si="155"/>
        <v>#REF!</v>
      </c>
      <c r="O333" s="70" t="e">
        <f t="shared" si="153"/>
        <v>#REF!</v>
      </c>
      <c r="P333" s="71" t="e">
        <f t="shared" ref="P333:P363" si="159">J333-M333</f>
        <v>#REF!</v>
      </c>
      <c r="Q333" s="35" t="e">
        <f t="shared" si="151"/>
        <v>#REF!</v>
      </c>
      <c r="R333" s="72">
        <v>1103837</v>
      </c>
      <c r="S333" s="72" t="e">
        <f t="shared" ref="S333:S363" si="160">G333-M333</f>
        <v>#REF!</v>
      </c>
      <c r="T333" s="62" t="e">
        <f t="shared" si="138"/>
        <v>#REF!</v>
      </c>
    </row>
    <row r="334" spans="1:20" hidden="1">
      <c r="A334" s="9"/>
      <c r="B334" s="9"/>
      <c r="C334" s="9"/>
      <c r="D334" s="69"/>
      <c r="E334" s="69">
        <v>116</v>
      </c>
      <c r="F334" s="3" t="s">
        <v>42</v>
      </c>
      <c r="G334" s="26"/>
      <c r="H334" s="26"/>
      <c r="I334" s="26"/>
      <c r="J334" s="105" t="e">
        <f t="shared" si="157"/>
        <v>#REF!</v>
      </c>
      <c r="K334" s="29" t="e">
        <f>'1.02.'!M267</f>
        <v>#REF!</v>
      </c>
      <c r="L334" s="27"/>
      <c r="M334" s="35" t="e">
        <f t="shared" si="158"/>
        <v>#REF!</v>
      </c>
      <c r="N334" s="35" t="e">
        <f t="shared" si="155"/>
        <v>#REF!</v>
      </c>
      <c r="O334" s="70" t="e">
        <f>M334/I334*100</f>
        <v>#REF!</v>
      </c>
      <c r="P334" s="71" t="e">
        <f t="shared" si="159"/>
        <v>#REF!</v>
      </c>
      <c r="Q334" s="35" t="e">
        <f t="shared" si="151"/>
        <v>#REF!</v>
      </c>
      <c r="R334" s="72">
        <v>1103838</v>
      </c>
      <c r="S334" s="72" t="e">
        <f t="shared" si="160"/>
        <v>#REF!</v>
      </c>
    </row>
    <row r="335" spans="1:20" s="73" customFormat="1" hidden="1">
      <c r="A335" s="9"/>
      <c r="B335" s="9"/>
      <c r="C335" s="9"/>
      <c r="D335" s="69"/>
      <c r="E335" s="69">
        <v>121</v>
      </c>
      <c r="F335" s="3" t="s">
        <v>2</v>
      </c>
      <c r="G335" s="26"/>
      <c r="H335" s="26"/>
      <c r="I335" s="26"/>
      <c r="J335" s="105" t="e">
        <f t="shared" si="157"/>
        <v>#REF!</v>
      </c>
      <c r="K335" s="29" t="e">
        <f>'1.02.'!M268</f>
        <v>#REF!</v>
      </c>
      <c r="L335" s="27"/>
      <c r="M335" s="35" t="e">
        <f t="shared" si="158"/>
        <v>#REF!</v>
      </c>
      <c r="N335" s="35" t="e">
        <f t="shared" si="155"/>
        <v>#REF!</v>
      </c>
      <c r="O335" s="70" t="e">
        <f>M335/I335*100</f>
        <v>#REF!</v>
      </c>
      <c r="P335" s="71" t="e">
        <f t="shared" si="159"/>
        <v>#REF!</v>
      </c>
      <c r="Q335" s="35" t="e">
        <f t="shared" si="151"/>
        <v>#REF!</v>
      </c>
      <c r="R335" s="72">
        <v>1103839</v>
      </c>
      <c r="S335" s="72" t="e">
        <f t="shared" si="160"/>
        <v>#REF!</v>
      </c>
      <c r="T335" s="62" t="e">
        <f t="shared" ref="T335:T339" si="161">G335-J335</f>
        <v>#REF!</v>
      </c>
    </row>
    <row r="336" spans="1:20" s="73" customFormat="1" hidden="1">
      <c r="A336" s="9"/>
      <c r="B336" s="9"/>
      <c r="C336" s="9"/>
      <c r="D336" s="69"/>
      <c r="E336" s="69">
        <v>122</v>
      </c>
      <c r="F336" s="3" t="s">
        <v>3</v>
      </c>
      <c r="G336" s="26"/>
      <c r="H336" s="26"/>
      <c r="I336" s="26"/>
      <c r="J336" s="105" t="e">
        <f t="shared" si="157"/>
        <v>#REF!</v>
      </c>
      <c r="K336" s="29" t="e">
        <f>'1.02.'!M269</f>
        <v>#REF!</v>
      </c>
      <c r="L336" s="27"/>
      <c r="M336" s="35" t="e">
        <f t="shared" si="158"/>
        <v>#REF!</v>
      </c>
      <c r="N336" s="35" t="e">
        <f t="shared" si="155"/>
        <v>#REF!</v>
      </c>
      <c r="O336" s="70" t="e">
        <f t="shared" ref="O336:O341" si="162">M336/I336*100</f>
        <v>#REF!</v>
      </c>
      <c r="P336" s="71" t="e">
        <f t="shared" si="159"/>
        <v>#REF!</v>
      </c>
      <c r="Q336" s="35" t="e">
        <f t="shared" si="151"/>
        <v>#REF!</v>
      </c>
      <c r="R336" s="72">
        <v>1103840</v>
      </c>
      <c r="S336" s="72" t="e">
        <f t="shared" si="160"/>
        <v>#REF!</v>
      </c>
      <c r="T336" s="62" t="e">
        <f t="shared" si="161"/>
        <v>#REF!</v>
      </c>
    </row>
    <row r="337" spans="1:20" s="73" customFormat="1" hidden="1">
      <c r="A337" s="9"/>
      <c r="B337" s="9"/>
      <c r="C337" s="9"/>
      <c r="D337" s="69"/>
      <c r="E337" s="69">
        <v>124</v>
      </c>
      <c r="F337" s="3" t="s">
        <v>19</v>
      </c>
      <c r="G337" s="26"/>
      <c r="H337" s="26"/>
      <c r="I337" s="26"/>
      <c r="J337" s="105" t="e">
        <f t="shared" si="157"/>
        <v>#REF!</v>
      </c>
      <c r="K337" s="29" t="e">
        <f>'1.02.'!M270</f>
        <v>#REF!</v>
      </c>
      <c r="L337" s="27"/>
      <c r="M337" s="35" t="e">
        <f t="shared" si="158"/>
        <v>#REF!</v>
      </c>
      <c r="N337" s="35" t="e">
        <f t="shared" si="155"/>
        <v>#REF!</v>
      </c>
      <c r="O337" s="70" t="e">
        <f t="shared" si="162"/>
        <v>#REF!</v>
      </c>
      <c r="P337" s="71" t="e">
        <f t="shared" si="159"/>
        <v>#REF!</v>
      </c>
      <c r="Q337" s="35" t="e">
        <f t="shared" si="151"/>
        <v>#REF!</v>
      </c>
      <c r="R337" s="72">
        <v>1103841</v>
      </c>
      <c r="S337" s="72" t="e">
        <f t="shared" si="160"/>
        <v>#REF!</v>
      </c>
      <c r="T337" s="62" t="e">
        <f t="shared" si="161"/>
        <v>#REF!</v>
      </c>
    </row>
    <row r="338" spans="1:20">
      <c r="A338" s="8"/>
      <c r="B338" s="8"/>
      <c r="C338" s="17"/>
      <c r="D338" s="17" t="s">
        <v>7</v>
      </c>
      <c r="E338" s="10"/>
      <c r="F338" s="135" t="s">
        <v>85</v>
      </c>
      <c r="G338" s="40">
        <f>SUM(G339:G358)</f>
        <v>605263</v>
      </c>
      <c r="H338" s="40">
        <f>SUM(H339:H358)</f>
        <v>310741</v>
      </c>
      <c r="I338" s="40">
        <f>SUM(I339:I358)</f>
        <v>268866.80000000005</v>
      </c>
      <c r="J338" s="24">
        <f t="shared" ref="J338" si="163">SUM(J339:J358)</f>
        <v>309915.41510999994</v>
      </c>
      <c r="K338" s="29">
        <f>'1.02.'!M271</f>
        <v>2434.3649999999998</v>
      </c>
      <c r="L338" s="24">
        <f>SUM(L339:L358)</f>
        <v>56155.407930000001</v>
      </c>
      <c r="M338" s="24">
        <f t="shared" ref="M338" si="164">SUM(M339:M358)</f>
        <v>268714.64826999995</v>
      </c>
      <c r="N338" s="35">
        <f t="shared" si="155"/>
        <v>152.15173000009963</v>
      </c>
      <c r="O338" s="66">
        <f t="shared" si="162"/>
        <v>99.943409997069139</v>
      </c>
      <c r="P338" s="71">
        <f t="shared" si="159"/>
        <v>41200.766839999997</v>
      </c>
      <c r="Q338" s="35">
        <f t="shared" si="151"/>
        <v>825.58489000005648</v>
      </c>
      <c r="R338" s="72">
        <v>1103842</v>
      </c>
      <c r="S338" s="72">
        <f t="shared" si="160"/>
        <v>336548.35173000005</v>
      </c>
      <c r="T338" s="62">
        <f t="shared" si="161"/>
        <v>295347.58489000006</v>
      </c>
    </row>
    <row r="339" spans="1:20">
      <c r="A339" s="8"/>
      <c r="B339" s="9"/>
      <c r="C339" s="9"/>
      <c r="D339" s="69"/>
      <c r="E339" s="69">
        <v>111</v>
      </c>
      <c r="F339" s="136" t="s">
        <v>86</v>
      </c>
      <c r="G339" s="26">
        <f>395706-34947-1433-3400</f>
        <v>355926</v>
      </c>
      <c r="H339" s="26">
        <v>131627</v>
      </c>
      <c r="I339" s="26">
        <v>131627</v>
      </c>
      <c r="J339" s="105">
        <f t="shared" ref="J339:J358" si="165">M339</f>
        <v>131627</v>
      </c>
      <c r="K339" s="35">
        <f>'1.09'!M303</f>
        <v>103627</v>
      </c>
      <c r="L339" s="27">
        <v>28000</v>
      </c>
      <c r="M339" s="93">
        <f t="shared" ref="M339:M341" si="166">K339+L339</f>
        <v>131627</v>
      </c>
      <c r="N339" s="35">
        <f t="shared" si="155"/>
        <v>0</v>
      </c>
      <c r="O339" s="70">
        <f t="shared" si="162"/>
        <v>100</v>
      </c>
      <c r="P339" s="71">
        <f t="shared" si="159"/>
        <v>0</v>
      </c>
      <c r="Q339" s="35">
        <f t="shared" si="151"/>
        <v>0</v>
      </c>
      <c r="R339" s="72">
        <v>1103843</v>
      </c>
      <c r="S339" s="72">
        <f t="shared" si="160"/>
        <v>224299</v>
      </c>
      <c r="T339" s="62">
        <f t="shared" si="161"/>
        <v>224299</v>
      </c>
    </row>
    <row r="340" spans="1:20">
      <c r="A340" s="8"/>
      <c r="B340" s="9"/>
      <c r="C340" s="9"/>
      <c r="D340" s="69"/>
      <c r="E340" s="69">
        <v>112</v>
      </c>
      <c r="F340" s="136" t="s">
        <v>87</v>
      </c>
      <c r="G340" s="26">
        <f>4300+3400</f>
        <v>7700</v>
      </c>
      <c r="H340" s="26">
        <v>7700</v>
      </c>
      <c r="I340" s="26">
        <v>7700</v>
      </c>
      <c r="J340" s="105">
        <f t="shared" si="165"/>
        <v>7700</v>
      </c>
      <c r="K340" s="35">
        <f>'1.09'!M304</f>
        <v>7700</v>
      </c>
      <c r="L340" s="27"/>
      <c r="M340" s="93">
        <f t="shared" si="166"/>
        <v>7700</v>
      </c>
      <c r="N340" s="35">
        <f t="shared" si="155"/>
        <v>0</v>
      </c>
      <c r="O340" s="70">
        <f t="shared" si="162"/>
        <v>100</v>
      </c>
      <c r="P340" s="71">
        <f t="shared" si="159"/>
        <v>0</v>
      </c>
      <c r="Q340" s="35">
        <f t="shared" si="151"/>
        <v>0</v>
      </c>
      <c r="R340" s="72">
        <v>1103844</v>
      </c>
      <c r="S340" s="72">
        <f t="shared" si="160"/>
        <v>0</v>
      </c>
    </row>
    <row r="341" spans="1:20">
      <c r="A341" s="8"/>
      <c r="B341" s="9"/>
      <c r="C341" s="9"/>
      <c r="D341" s="69"/>
      <c r="E341" s="76">
        <v>113</v>
      </c>
      <c r="F341" s="136" t="s">
        <v>88</v>
      </c>
      <c r="G341" s="26">
        <f>19666-5000</f>
        <v>14666</v>
      </c>
      <c r="H341" s="26">
        <v>1155</v>
      </c>
      <c r="I341" s="26">
        <v>1155</v>
      </c>
      <c r="J341" s="105">
        <f>M341</f>
        <v>1128.5550000000001</v>
      </c>
      <c r="K341" s="35">
        <f>'1.09'!M305</f>
        <v>0</v>
      </c>
      <c r="L341" s="27">
        <v>1128.5550000000001</v>
      </c>
      <c r="M341" s="93">
        <f t="shared" si="166"/>
        <v>1128.5550000000001</v>
      </c>
      <c r="N341" s="35">
        <f t="shared" si="155"/>
        <v>26.444999999999936</v>
      </c>
      <c r="O341" s="70">
        <f t="shared" si="162"/>
        <v>97.710389610389612</v>
      </c>
      <c r="P341" s="71">
        <f t="shared" si="159"/>
        <v>0</v>
      </c>
      <c r="Q341" s="35">
        <f t="shared" si="151"/>
        <v>26.444999999999936</v>
      </c>
      <c r="R341" s="72">
        <v>1103845</v>
      </c>
      <c r="S341" s="72">
        <f t="shared" si="160"/>
        <v>13537.445</v>
      </c>
      <c r="T341" s="62">
        <f t="shared" ref="T341" si="167">G341-J341</f>
        <v>13537.445</v>
      </c>
    </row>
    <row r="342" spans="1:20">
      <c r="A342" s="8"/>
      <c r="B342" s="9"/>
      <c r="C342" s="9"/>
      <c r="D342" s="69"/>
      <c r="E342" s="69">
        <v>116</v>
      </c>
      <c r="F342" s="136" t="s">
        <v>89</v>
      </c>
      <c r="G342" s="26">
        <f>13850-2000-300</f>
        <v>11550</v>
      </c>
      <c r="H342" s="26">
        <v>3134</v>
      </c>
      <c r="I342" s="26">
        <v>3134</v>
      </c>
      <c r="J342" s="105">
        <f t="shared" si="165"/>
        <v>3134</v>
      </c>
      <c r="K342" s="35">
        <f>'1.09'!M306</f>
        <v>2534</v>
      </c>
      <c r="L342" s="27">
        <v>600</v>
      </c>
      <c r="M342" s="93">
        <f>K342+L342</f>
        <v>3134</v>
      </c>
      <c r="N342" s="35">
        <f t="shared" si="155"/>
        <v>0</v>
      </c>
      <c r="O342" s="70">
        <f>M342/I342*100</f>
        <v>100</v>
      </c>
      <c r="P342" s="71">
        <f t="shared" si="159"/>
        <v>0</v>
      </c>
      <c r="Q342" s="35">
        <f t="shared" si="151"/>
        <v>0</v>
      </c>
      <c r="R342" s="72">
        <v>1103846</v>
      </c>
      <c r="S342" s="72">
        <f t="shared" si="160"/>
        <v>8416</v>
      </c>
    </row>
    <row r="343" spans="1:20">
      <c r="A343" s="8"/>
      <c r="B343" s="9"/>
      <c r="C343" s="9"/>
      <c r="D343" s="69"/>
      <c r="E343" s="69">
        <v>121</v>
      </c>
      <c r="F343" s="136" t="s">
        <v>90</v>
      </c>
      <c r="G343" s="26">
        <f>20498-5000-1000</f>
        <v>14498</v>
      </c>
      <c r="H343" s="26">
        <v>7492</v>
      </c>
      <c r="I343" s="26">
        <v>7492</v>
      </c>
      <c r="J343" s="105">
        <f t="shared" si="165"/>
        <v>7492</v>
      </c>
      <c r="K343" s="35">
        <f>'1.09'!M307</f>
        <v>5892</v>
      </c>
      <c r="L343" s="27">
        <v>1600</v>
      </c>
      <c r="M343" s="93">
        <f t="shared" ref="M343:M357" si="168">K343+L343</f>
        <v>7492</v>
      </c>
      <c r="N343" s="35">
        <f t="shared" si="155"/>
        <v>0</v>
      </c>
      <c r="O343" s="70">
        <f t="shared" ref="O343:O363" si="169">M343/I343*100</f>
        <v>100</v>
      </c>
      <c r="P343" s="71">
        <f t="shared" si="159"/>
        <v>0</v>
      </c>
      <c r="Q343" s="35">
        <f t="shared" si="151"/>
        <v>0</v>
      </c>
      <c r="R343" s="72">
        <v>1103847</v>
      </c>
      <c r="S343" s="72">
        <f t="shared" si="160"/>
        <v>7006</v>
      </c>
      <c r="T343" s="62">
        <f t="shared" ref="T343:T352" si="170">G343-J343</f>
        <v>7006</v>
      </c>
    </row>
    <row r="344" spans="1:20">
      <c r="A344" s="8"/>
      <c r="B344" s="9"/>
      <c r="C344" s="9"/>
      <c r="D344" s="69"/>
      <c r="E344" s="69">
        <v>122</v>
      </c>
      <c r="F344" s="136" t="s">
        <v>91</v>
      </c>
      <c r="G344" s="26">
        <f>17807-5000-711</f>
        <v>12096</v>
      </c>
      <c r="H344" s="26">
        <v>5805</v>
      </c>
      <c r="I344" s="26">
        <v>5805</v>
      </c>
      <c r="J344" s="105">
        <f t="shared" si="165"/>
        <v>5737.3</v>
      </c>
      <c r="K344" s="35">
        <f>'1.09'!M308</f>
        <v>4626.6689999999999</v>
      </c>
      <c r="L344" s="27">
        <v>1110.6310000000001</v>
      </c>
      <c r="M344" s="93">
        <f t="shared" si="168"/>
        <v>5737.3</v>
      </c>
      <c r="N344" s="35">
        <f t="shared" si="155"/>
        <v>67.699999999999818</v>
      </c>
      <c r="O344" s="70">
        <f t="shared" si="169"/>
        <v>98.833763996554708</v>
      </c>
      <c r="P344" s="71">
        <f t="shared" si="159"/>
        <v>0</v>
      </c>
      <c r="Q344" s="35">
        <f t="shared" si="151"/>
        <v>67.699999999999818</v>
      </c>
      <c r="R344" s="72">
        <v>1103848</v>
      </c>
      <c r="S344" s="72">
        <f t="shared" si="160"/>
        <v>6358.7</v>
      </c>
      <c r="T344" s="62">
        <f t="shared" si="170"/>
        <v>6358.7</v>
      </c>
    </row>
    <row r="345" spans="1:20">
      <c r="A345" s="8"/>
      <c r="B345" s="9"/>
      <c r="C345" s="9"/>
      <c r="D345" s="69"/>
      <c r="E345" s="69">
        <v>123</v>
      </c>
      <c r="F345" s="136" t="s">
        <v>92</v>
      </c>
      <c r="G345" s="26">
        <f>103+20.2</f>
        <v>123.2</v>
      </c>
      <c r="H345" s="26">
        <v>123.2</v>
      </c>
      <c r="I345" s="26">
        <v>123.2</v>
      </c>
      <c r="J345" s="105">
        <v>123.18300000000001</v>
      </c>
      <c r="K345" s="35">
        <f>'1.09'!M309</f>
        <v>50</v>
      </c>
      <c r="L345" s="27">
        <v>73.183000000000007</v>
      </c>
      <c r="M345" s="93">
        <f t="shared" si="168"/>
        <v>123.18300000000001</v>
      </c>
      <c r="N345" s="35">
        <f t="shared" si="155"/>
        <v>1.6999999999995907E-2</v>
      </c>
      <c r="O345" s="70">
        <f t="shared" si="169"/>
        <v>99.986201298701303</v>
      </c>
      <c r="P345" s="71">
        <f t="shared" si="159"/>
        <v>0</v>
      </c>
      <c r="Q345" s="35">
        <f t="shared" si="151"/>
        <v>1.6999999999995907E-2</v>
      </c>
      <c r="R345" s="72">
        <v>1103849</v>
      </c>
      <c r="S345" s="72">
        <f t="shared" si="160"/>
        <v>1.6999999999995907E-2</v>
      </c>
      <c r="T345" s="62">
        <f t="shared" si="170"/>
        <v>1.6999999999995907E-2</v>
      </c>
    </row>
    <row r="346" spans="1:20">
      <c r="A346" s="9"/>
      <c r="B346" s="9"/>
      <c r="C346" s="9"/>
      <c r="D346" s="69"/>
      <c r="E346" s="69">
        <v>124</v>
      </c>
      <c r="F346" s="136" t="s">
        <v>93</v>
      </c>
      <c r="G346" s="26">
        <f>11872-5000-856</f>
        <v>6016</v>
      </c>
      <c r="H346" s="26">
        <v>3875</v>
      </c>
      <c r="I346" s="26">
        <v>3875</v>
      </c>
      <c r="J346" s="105">
        <v>3864.54</v>
      </c>
      <c r="K346" s="35">
        <f>'1.09'!M310</f>
        <v>3075</v>
      </c>
      <c r="L346" s="27">
        <v>789.54</v>
      </c>
      <c r="M346" s="93">
        <f t="shared" si="168"/>
        <v>3864.54</v>
      </c>
      <c r="N346" s="35">
        <f t="shared" si="155"/>
        <v>10.460000000000036</v>
      </c>
      <c r="O346" s="70">
        <f t="shared" si="169"/>
        <v>99.730064516129033</v>
      </c>
      <c r="P346" s="71">
        <f t="shared" si="159"/>
        <v>0</v>
      </c>
      <c r="Q346" s="35">
        <f t="shared" si="151"/>
        <v>10.460000000000036</v>
      </c>
      <c r="R346" s="72">
        <v>1103850</v>
      </c>
      <c r="S346" s="72">
        <f t="shared" si="160"/>
        <v>2151.46</v>
      </c>
      <c r="T346" s="62">
        <f t="shared" si="170"/>
        <v>2151.46</v>
      </c>
    </row>
    <row r="347" spans="1:20" s="73" customFormat="1">
      <c r="A347" s="9"/>
      <c r="B347" s="9"/>
      <c r="C347" s="9"/>
      <c r="D347" s="69"/>
      <c r="E347" s="69">
        <v>141</v>
      </c>
      <c r="F347" s="136" t="s">
        <v>116</v>
      </c>
      <c r="G347" s="26">
        <f>42256-747-5493.7</f>
        <v>36015.300000000003</v>
      </c>
      <c r="H347" s="26">
        <v>35141.4</v>
      </c>
      <c r="I347" s="26">
        <v>11133</v>
      </c>
      <c r="J347" s="27">
        <v>35141.395499999999</v>
      </c>
      <c r="K347" s="35">
        <f>'1.09'!M311</f>
        <v>8133</v>
      </c>
      <c r="L347" s="27">
        <v>3000</v>
      </c>
      <c r="M347" s="93">
        <f t="shared" si="168"/>
        <v>11133</v>
      </c>
      <c r="N347" s="35">
        <f t="shared" si="155"/>
        <v>0</v>
      </c>
      <c r="O347" s="70">
        <f t="shared" si="169"/>
        <v>100</v>
      </c>
      <c r="P347" s="71">
        <f t="shared" si="159"/>
        <v>24008.395499999999</v>
      </c>
      <c r="Q347" s="35">
        <f t="shared" si="151"/>
        <v>4.5000000027357601E-3</v>
      </c>
      <c r="R347" s="72">
        <v>1103851</v>
      </c>
      <c r="S347" s="72">
        <f t="shared" si="160"/>
        <v>24882.300000000003</v>
      </c>
      <c r="T347" s="62">
        <f t="shared" si="170"/>
        <v>873.90450000000419</v>
      </c>
    </row>
    <row r="348" spans="1:20" ht="25.5">
      <c r="A348" s="9"/>
      <c r="B348" s="9"/>
      <c r="C348" s="9"/>
      <c r="D348" s="69"/>
      <c r="E348" s="69">
        <v>142</v>
      </c>
      <c r="F348" s="136" t="s">
        <v>122</v>
      </c>
      <c r="G348" s="26">
        <f>3014+356.2</f>
        <v>3370.2</v>
      </c>
      <c r="H348" s="26">
        <v>3370.2</v>
      </c>
      <c r="I348" s="26">
        <v>3370.2</v>
      </c>
      <c r="J348" s="105">
        <v>3370.16</v>
      </c>
      <c r="K348" s="35">
        <f>'1.09'!M312</f>
        <v>3370.16</v>
      </c>
      <c r="L348" s="27"/>
      <c r="M348" s="93">
        <f t="shared" si="168"/>
        <v>3370.16</v>
      </c>
      <c r="N348" s="35">
        <f t="shared" si="155"/>
        <v>3.999999999996362E-2</v>
      </c>
      <c r="O348" s="70">
        <f t="shared" si="169"/>
        <v>99.998813126817396</v>
      </c>
      <c r="P348" s="71">
        <f t="shared" si="159"/>
        <v>0</v>
      </c>
      <c r="Q348" s="35">
        <f t="shared" si="151"/>
        <v>3.999999999996362E-2</v>
      </c>
      <c r="R348" s="72">
        <v>1103852</v>
      </c>
      <c r="S348" s="72">
        <f t="shared" si="160"/>
        <v>3.999999999996362E-2</v>
      </c>
      <c r="T348" s="62">
        <f t="shared" si="170"/>
        <v>3.999999999996362E-2</v>
      </c>
    </row>
    <row r="349" spans="1:20">
      <c r="A349" s="9"/>
      <c r="B349" s="9"/>
      <c r="C349" s="9"/>
      <c r="D349" s="69"/>
      <c r="E349" s="69">
        <v>144</v>
      </c>
      <c r="F349" s="136" t="s">
        <v>97</v>
      </c>
      <c r="G349" s="26">
        <f>400+87.5+185</f>
        <v>672.5</v>
      </c>
      <c r="H349" s="26">
        <v>672.5</v>
      </c>
      <c r="I349" s="26">
        <v>487.5</v>
      </c>
      <c r="J349" s="105">
        <v>671.90192999999999</v>
      </c>
      <c r="K349" s="35">
        <f>'1.09'!M313</f>
        <v>399.99793</v>
      </c>
      <c r="L349" s="27">
        <v>40.785600000000002</v>
      </c>
      <c r="M349" s="93">
        <f t="shared" si="168"/>
        <v>440.78352999999998</v>
      </c>
      <c r="N349" s="35">
        <f t="shared" si="155"/>
        <v>46.716470000000015</v>
      </c>
      <c r="O349" s="70">
        <f t="shared" si="169"/>
        <v>90.417134358974366</v>
      </c>
      <c r="P349" s="71">
        <f t="shared" si="159"/>
        <v>231.11840000000001</v>
      </c>
      <c r="Q349" s="35">
        <f t="shared" si="151"/>
        <v>0.59807000000000698</v>
      </c>
      <c r="R349" s="72">
        <v>1103853</v>
      </c>
      <c r="S349" s="72">
        <f t="shared" si="160"/>
        <v>231.71647000000002</v>
      </c>
      <c r="T349" s="62">
        <f t="shared" si="170"/>
        <v>0.59807000000000698</v>
      </c>
    </row>
    <row r="350" spans="1:20">
      <c r="A350" s="9"/>
      <c r="B350" s="9"/>
      <c r="C350" s="9"/>
      <c r="D350" s="69"/>
      <c r="E350" s="69">
        <v>149</v>
      </c>
      <c r="F350" s="136" t="s">
        <v>98</v>
      </c>
      <c r="G350" s="26">
        <f>7350+30000</f>
        <v>37350</v>
      </c>
      <c r="H350" s="26">
        <v>32443.1</v>
      </c>
      <c r="I350" s="26">
        <v>32443.1</v>
      </c>
      <c r="J350" s="105">
        <v>32443.1</v>
      </c>
      <c r="K350" s="35">
        <f>'1.09'!M314</f>
        <v>27713.7</v>
      </c>
      <c r="L350" s="27">
        <v>4729.3999999999996</v>
      </c>
      <c r="M350" s="93">
        <f t="shared" si="168"/>
        <v>32443.1</v>
      </c>
      <c r="N350" s="35">
        <f t="shared" si="155"/>
        <v>0</v>
      </c>
      <c r="O350" s="70">
        <f t="shared" si="169"/>
        <v>100</v>
      </c>
      <c r="P350" s="71">
        <f t="shared" si="159"/>
        <v>0</v>
      </c>
      <c r="Q350" s="35">
        <f t="shared" si="151"/>
        <v>0</v>
      </c>
      <c r="R350" s="72">
        <v>1103854</v>
      </c>
      <c r="S350" s="72">
        <f t="shared" si="160"/>
        <v>4906.9000000000015</v>
      </c>
      <c r="T350" s="62">
        <f t="shared" si="170"/>
        <v>4906.9000000000015</v>
      </c>
    </row>
    <row r="351" spans="1:20">
      <c r="A351" s="9"/>
      <c r="B351" s="9"/>
      <c r="C351" s="9"/>
      <c r="D351" s="69"/>
      <c r="E351" s="69">
        <v>151</v>
      </c>
      <c r="F351" s="136" t="s">
        <v>99</v>
      </c>
      <c r="G351" s="26">
        <f>46563+4414</f>
        <v>50977</v>
      </c>
      <c r="H351" s="26">
        <v>34640.5</v>
      </c>
      <c r="I351" s="26">
        <v>34640.5</v>
      </c>
      <c r="J351" s="105">
        <f t="shared" si="165"/>
        <v>34640.400320000001</v>
      </c>
      <c r="K351" s="35">
        <f>'1.09'!M315</f>
        <v>29656</v>
      </c>
      <c r="L351" s="27">
        <v>4984.4003199999997</v>
      </c>
      <c r="M351" s="93">
        <f t="shared" si="168"/>
        <v>34640.400320000001</v>
      </c>
      <c r="N351" s="35">
        <f t="shared" si="155"/>
        <v>9.9679999999352731E-2</v>
      </c>
      <c r="O351" s="70">
        <f t="shared" si="169"/>
        <v>99.999712244338284</v>
      </c>
      <c r="P351" s="71">
        <f t="shared" si="159"/>
        <v>0</v>
      </c>
      <c r="Q351" s="35">
        <f t="shared" si="151"/>
        <v>9.9679999999352731E-2</v>
      </c>
      <c r="R351" s="72">
        <v>1103855</v>
      </c>
      <c r="S351" s="72">
        <f t="shared" si="160"/>
        <v>16336.599679999999</v>
      </c>
      <c r="T351" s="62">
        <f t="shared" si="170"/>
        <v>16336.599679999999</v>
      </c>
    </row>
    <row r="352" spans="1:20" hidden="1">
      <c r="A352" s="9"/>
      <c r="B352" s="9"/>
      <c r="C352" s="9"/>
      <c r="D352" s="69"/>
      <c r="E352" s="69">
        <v>152</v>
      </c>
      <c r="F352" s="3" t="s">
        <v>4</v>
      </c>
      <c r="G352" s="26"/>
      <c r="H352" s="26"/>
      <c r="I352" s="26"/>
      <c r="J352" s="105">
        <f t="shared" si="165"/>
        <v>0</v>
      </c>
      <c r="K352" s="35">
        <f>'1.09'!M316</f>
        <v>0</v>
      </c>
      <c r="L352" s="27"/>
      <c r="M352" s="93">
        <f t="shared" si="168"/>
        <v>0</v>
      </c>
      <c r="N352" s="35">
        <f t="shared" si="155"/>
        <v>0</v>
      </c>
      <c r="O352" s="70" t="e">
        <f t="shared" si="169"/>
        <v>#DIV/0!</v>
      </c>
      <c r="P352" s="71">
        <f t="shared" si="159"/>
        <v>0</v>
      </c>
      <c r="Q352" s="35">
        <f t="shared" si="151"/>
        <v>0</v>
      </c>
      <c r="R352" s="72">
        <v>1103856</v>
      </c>
      <c r="S352" s="72">
        <f t="shared" si="160"/>
        <v>0</v>
      </c>
      <c r="T352" s="62">
        <f t="shared" si="170"/>
        <v>0</v>
      </c>
    </row>
    <row r="353" spans="1:20">
      <c r="A353" s="9"/>
      <c r="B353" s="9"/>
      <c r="C353" s="9"/>
      <c r="D353" s="69"/>
      <c r="E353" s="69">
        <v>152</v>
      </c>
      <c r="F353" s="3" t="s">
        <v>100</v>
      </c>
      <c r="G353" s="26">
        <f>5050+7109-5050-17.2</f>
        <v>7091.8</v>
      </c>
      <c r="H353" s="26">
        <v>5050.1000000000004</v>
      </c>
      <c r="I353" s="26">
        <v>1433.6</v>
      </c>
      <c r="J353" s="27">
        <v>5049.9999900000003</v>
      </c>
      <c r="K353" s="35">
        <f>'1.09'!M317</f>
        <v>535.39680999999996</v>
      </c>
      <c r="L353" s="27">
        <v>898.11126000000002</v>
      </c>
      <c r="M353" s="93">
        <f t="shared" si="168"/>
        <v>1433.5080699999999</v>
      </c>
      <c r="N353" s="35">
        <f t="shared" si="155"/>
        <v>9.1930000000047585E-2</v>
      </c>
      <c r="O353" s="70">
        <f t="shared" si="169"/>
        <v>99.993587472098213</v>
      </c>
      <c r="P353" s="71">
        <f t="shared" si="159"/>
        <v>3616.4919200000004</v>
      </c>
      <c r="Q353" s="35">
        <f t="shared" si="151"/>
        <v>0.10001000000011118</v>
      </c>
      <c r="R353" s="72">
        <v>1103857</v>
      </c>
      <c r="S353" s="72">
        <f t="shared" si="160"/>
        <v>5658.2919300000003</v>
      </c>
    </row>
    <row r="354" spans="1:20">
      <c r="A354" s="9"/>
      <c r="B354" s="9"/>
      <c r="C354" s="9"/>
      <c r="D354" s="69"/>
      <c r="E354" s="69">
        <v>158</v>
      </c>
      <c r="F354" s="136" t="s">
        <v>101</v>
      </c>
      <c r="G354" s="26">
        <v>730</v>
      </c>
      <c r="H354" s="26">
        <v>730</v>
      </c>
      <c r="I354" s="26">
        <v>488</v>
      </c>
      <c r="J354" s="105">
        <v>730</v>
      </c>
      <c r="K354" s="35">
        <f>'1.09'!M318</f>
        <v>427</v>
      </c>
      <c r="L354" s="27">
        <v>61</v>
      </c>
      <c r="M354" s="93">
        <f t="shared" si="168"/>
        <v>488</v>
      </c>
      <c r="N354" s="35">
        <f t="shared" si="155"/>
        <v>0</v>
      </c>
      <c r="O354" s="70">
        <f t="shared" si="169"/>
        <v>100</v>
      </c>
      <c r="P354" s="71">
        <f t="shared" si="159"/>
        <v>242</v>
      </c>
      <c r="Q354" s="35">
        <f t="shared" si="151"/>
        <v>0</v>
      </c>
      <c r="R354" s="72">
        <v>1103857</v>
      </c>
      <c r="S354" s="72">
        <f t="shared" si="160"/>
        <v>242</v>
      </c>
    </row>
    <row r="355" spans="1:20">
      <c r="A355" s="9"/>
      <c r="B355" s="9"/>
      <c r="C355" s="9"/>
      <c r="D355" s="69"/>
      <c r="E355" s="69">
        <v>159</v>
      </c>
      <c r="F355" s="136" t="s">
        <v>84</v>
      </c>
      <c r="G355" s="26">
        <f>24280+21109</f>
        <v>45389</v>
      </c>
      <c r="H355" s="26">
        <v>36690</v>
      </c>
      <c r="I355" s="26">
        <v>22867.7</v>
      </c>
      <c r="J355" s="105">
        <v>35970.460769999998</v>
      </c>
      <c r="K355" s="35">
        <f>'1.09'!M319</f>
        <v>13735.3</v>
      </c>
      <c r="L355" s="27">
        <v>9132.3997500000005</v>
      </c>
      <c r="M355" s="93">
        <f t="shared" si="168"/>
        <v>22867.69975</v>
      </c>
      <c r="N355" s="35">
        <f t="shared" si="155"/>
        <v>2.5000000096042641E-4</v>
      </c>
      <c r="O355" s="70">
        <f t="shared" si="169"/>
        <v>99.999998906754939</v>
      </c>
      <c r="P355" s="71">
        <f t="shared" si="159"/>
        <v>13102.761019999998</v>
      </c>
      <c r="Q355" s="35">
        <f t="shared" si="151"/>
        <v>719.53923000000214</v>
      </c>
      <c r="R355" s="72">
        <v>1103858</v>
      </c>
      <c r="S355" s="72">
        <f t="shared" si="160"/>
        <v>22521.30025</v>
      </c>
      <c r="T355" s="62">
        <f t="shared" ref="T355:T358" si="171">G355-J355</f>
        <v>9418.5392300000021</v>
      </c>
    </row>
    <row r="356" spans="1:20">
      <c r="A356" s="9"/>
      <c r="B356" s="9"/>
      <c r="C356" s="9"/>
      <c r="D356" s="69"/>
      <c r="E356" s="69">
        <v>161</v>
      </c>
      <c r="F356" s="136" t="s">
        <v>102</v>
      </c>
      <c r="G356" s="26">
        <f>747+315</f>
        <v>1062</v>
      </c>
      <c r="H356" s="26">
        <v>1062</v>
      </c>
      <c r="I356" s="26">
        <v>1062</v>
      </c>
      <c r="J356" s="105">
        <f t="shared" si="165"/>
        <v>1061.4189999999999</v>
      </c>
      <c r="K356" s="35">
        <f>'1.09'!M320</f>
        <v>1061.4189999999999</v>
      </c>
      <c r="L356" s="27"/>
      <c r="M356" s="93">
        <f t="shared" si="168"/>
        <v>1061.4189999999999</v>
      </c>
      <c r="N356" s="35">
        <f t="shared" si="155"/>
        <v>0.58100000000013097</v>
      </c>
      <c r="O356" s="70">
        <f t="shared" si="169"/>
        <v>99.94529190207156</v>
      </c>
      <c r="P356" s="71">
        <f t="shared" si="159"/>
        <v>0</v>
      </c>
      <c r="Q356" s="35">
        <f t="shared" si="151"/>
        <v>0.58100000000013097</v>
      </c>
      <c r="R356" s="72">
        <v>1103859</v>
      </c>
      <c r="S356" s="72">
        <f t="shared" si="160"/>
        <v>0.58100000000013097</v>
      </c>
      <c r="T356" s="62">
        <f t="shared" si="171"/>
        <v>0.58100000000013097</v>
      </c>
    </row>
    <row r="357" spans="1:20">
      <c r="A357" s="9"/>
      <c r="B357" s="9"/>
      <c r="C357" s="9"/>
      <c r="D357" s="69"/>
      <c r="E357" s="69">
        <v>168</v>
      </c>
      <c r="F357" s="136" t="s">
        <v>167</v>
      </c>
      <c r="G357" s="26">
        <v>30</v>
      </c>
      <c r="H357" s="26">
        <v>30</v>
      </c>
      <c r="I357" s="26">
        <v>30</v>
      </c>
      <c r="J357" s="28">
        <v>29.999600000000001</v>
      </c>
      <c r="K357" s="35">
        <f>'1.09'!M321</f>
        <v>22.5976</v>
      </c>
      <c r="L357" s="27">
        <v>7.4020000000000001</v>
      </c>
      <c r="M357" s="93">
        <f t="shared" si="168"/>
        <v>29.999600000000001</v>
      </c>
      <c r="N357" s="35">
        <f t="shared" si="155"/>
        <v>3.9999999999906777E-4</v>
      </c>
      <c r="O357" s="70">
        <f t="shared" si="169"/>
        <v>99.998666666666665</v>
      </c>
      <c r="P357" s="71">
        <f t="shared" si="159"/>
        <v>0</v>
      </c>
      <c r="Q357" s="35">
        <f t="shared" si="151"/>
        <v>3.9999999999906777E-4</v>
      </c>
      <c r="R357" s="72">
        <v>1103860</v>
      </c>
      <c r="S357" s="72">
        <f t="shared" si="160"/>
        <v>3.9999999999906777E-4</v>
      </c>
    </row>
    <row r="358" spans="1:20" hidden="1">
      <c r="A358" s="9"/>
      <c r="B358" s="9"/>
      <c r="C358" s="9"/>
      <c r="D358" s="69"/>
      <c r="E358" s="69">
        <v>169</v>
      </c>
      <c r="F358" s="136" t="s">
        <v>103</v>
      </c>
      <c r="G358" s="26"/>
      <c r="H358" s="26"/>
      <c r="I358" s="26"/>
      <c r="J358" s="105">
        <f t="shared" si="165"/>
        <v>0</v>
      </c>
      <c r="K358" s="35">
        <f>'1.09'!M322</f>
        <v>0</v>
      </c>
      <c r="L358" s="27"/>
      <c r="M358" s="93">
        <f>K358+L358</f>
        <v>0</v>
      </c>
      <c r="N358" s="35">
        <f t="shared" si="155"/>
        <v>0</v>
      </c>
      <c r="O358" s="70" t="e">
        <f t="shared" si="169"/>
        <v>#DIV/0!</v>
      </c>
      <c r="P358" s="71">
        <f t="shared" si="159"/>
        <v>0</v>
      </c>
      <c r="Q358" s="35">
        <f t="shared" si="151"/>
        <v>0</v>
      </c>
      <c r="R358" s="72">
        <v>1103860</v>
      </c>
      <c r="S358" s="72">
        <f t="shared" si="160"/>
        <v>0</v>
      </c>
      <c r="T358" s="62">
        <f t="shared" si="171"/>
        <v>0</v>
      </c>
    </row>
    <row r="359" spans="1:20" ht="25.5">
      <c r="A359" s="100"/>
      <c r="B359" s="15"/>
      <c r="C359" s="57" t="s">
        <v>43</v>
      </c>
      <c r="D359" s="16"/>
      <c r="E359" s="20"/>
      <c r="F359" s="139" t="s">
        <v>119</v>
      </c>
      <c r="G359" s="59">
        <f t="shared" ref="G359:M359" si="172">G360</f>
        <v>56947</v>
      </c>
      <c r="H359" s="59">
        <f t="shared" si="172"/>
        <v>48614.8</v>
      </c>
      <c r="I359" s="59">
        <f t="shared" si="172"/>
        <v>41129.800000000003</v>
      </c>
      <c r="J359" s="29">
        <f t="shared" si="172"/>
        <v>47110.639150000003</v>
      </c>
      <c r="K359" s="29">
        <f t="shared" si="172"/>
        <v>32339.07</v>
      </c>
      <c r="L359" s="29">
        <f t="shared" si="172"/>
        <v>8616.6868699999995</v>
      </c>
      <c r="M359" s="29">
        <f t="shared" si="172"/>
        <v>40955.756869999997</v>
      </c>
      <c r="N359" s="35">
        <f t="shared" si="155"/>
        <v>174.04313000000548</v>
      </c>
      <c r="O359" s="70">
        <f t="shared" si="169"/>
        <v>99.576844210280612</v>
      </c>
      <c r="P359" s="71">
        <f t="shared" si="159"/>
        <v>6154.8822800000053</v>
      </c>
      <c r="Q359" s="35">
        <f t="shared" si="151"/>
        <v>1504.1608500000002</v>
      </c>
      <c r="R359" s="72">
        <v>1103861</v>
      </c>
      <c r="S359" s="72">
        <f t="shared" si="160"/>
        <v>15991.243130000003</v>
      </c>
    </row>
    <row r="360" spans="1:20">
      <c r="A360" s="9"/>
      <c r="B360" s="12"/>
      <c r="C360" s="12"/>
      <c r="D360" s="11" t="s">
        <v>7</v>
      </c>
      <c r="E360" s="97"/>
      <c r="F360" s="122" t="s">
        <v>85</v>
      </c>
      <c r="G360" s="30">
        <f>G361+G362+G363</f>
        <v>56947</v>
      </c>
      <c r="H360" s="30">
        <f t="shared" ref="H360:M360" si="173">H361+H362+H363</f>
        <v>48614.8</v>
      </c>
      <c r="I360" s="30">
        <f t="shared" si="173"/>
        <v>41129.800000000003</v>
      </c>
      <c r="J360" s="32">
        <f t="shared" si="173"/>
        <v>47110.639150000003</v>
      </c>
      <c r="K360" s="32">
        <f t="shared" si="173"/>
        <v>32339.07</v>
      </c>
      <c r="L360" s="32">
        <f t="shared" si="173"/>
        <v>8616.6868699999995</v>
      </c>
      <c r="M360" s="32">
        <f t="shared" si="173"/>
        <v>40955.756869999997</v>
      </c>
      <c r="N360" s="35">
        <f t="shared" si="155"/>
        <v>174.04313000000548</v>
      </c>
      <c r="O360" s="70">
        <f>M360/I360*100</f>
        <v>99.576844210280612</v>
      </c>
      <c r="P360" s="71">
        <f t="shared" si="159"/>
        <v>6154.8822800000053</v>
      </c>
      <c r="Q360" s="35">
        <f t="shared" si="151"/>
        <v>1504.1608500000002</v>
      </c>
      <c r="R360" s="72">
        <v>1103862</v>
      </c>
      <c r="S360" s="72">
        <f t="shared" si="160"/>
        <v>15991.243130000003</v>
      </c>
      <c r="T360" s="62">
        <f>G360-J360</f>
        <v>9836.3608499999973</v>
      </c>
    </row>
    <row r="361" spans="1:20" ht="25.5">
      <c r="A361" s="9"/>
      <c r="B361" s="13"/>
      <c r="C361" s="13"/>
      <c r="D361" s="14"/>
      <c r="E361" s="20">
        <v>414</v>
      </c>
      <c r="F361" s="50" t="s">
        <v>105</v>
      </c>
      <c r="G361" s="37">
        <f>56947-849</f>
        <v>56098</v>
      </c>
      <c r="H361" s="37">
        <v>47765.8</v>
      </c>
      <c r="I361" s="37">
        <v>40280.800000000003</v>
      </c>
      <c r="J361" s="75">
        <v>46261.669150000002</v>
      </c>
      <c r="K361" s="35">
        <f>'1.09'!M325</f>
        <v>31490.1</v>
      </c>
      <c r="L361" s="35">
        <v>8616.6868699999995</v>
      </c>
      <c r="M361" s="93">
        <f>K361+L361</f>
        <v>40106.786869999996</v>
      </c>
      <c r="N361" s="35">
        <f t="shared" si="155"/>
        <v>174.01313000000664</v>
      </c>
      <c r="O361" s="70">
        <f t="shared" si="169"/>
        <v>99.567999816289628</v>
      </c>
      <c r="P361" s="71">
        <f t="shared" si="159"/>
        <v>6154.8822800000053</v>
      </c>
      <c r="Q361" s="35">
        <f t="shared" si="151"/>
        <v>1504.1308500000014</v>
      </c>
      <c r="R361" s="72">
        <v>1103864</v>
      </c>
      <c r="S361" s="72">
        <f t="shared" si="160"/>
        <v>15991.213130000004</v>
      </c>
    </row>
    <row r="362" spans="1:20">
      <c r="A362" s="9"/>
      <c r="B362" s="13"/>
      <c r="C362" s="13"/>
      <c r="D362" s="14"/>
      <c r="E362" s="20">
        <v>419</v>
      </c>
      <c r="F362" s="86" t="s">
        <v>153</v>
      </c>
      <c r="G362" s="37">
        <v>849</v>
      </c>
      <c r="H362" s="37">
        <v>849</v>
      </c>
      <c r="I362" s="37">
        <v>849</v>
      </c>
      <c r="J362" s="75">
        <v>848.97</v>
      </c>
      <c r="K362" s="35">
        <f>'1.09'!M326</f>
        <v>848.97</v>
      </c>
      <c r="L362" s="75"/>
      <c r="M362" s="93">
        <f>K362+L362</f>
        <v>848.97</v>
      </c>
      <c r="N362" s="35">
        <f t="shared" si="155"/>
        <v>2.9999999999972715E-2</v>
      </c>
      <c r="O362" s="70">
        <f t="shared" si="169"/>
        <v>99.996466431095413</v>
      </c>
      <c r="P362" s="71">
        <f t="shared" si="159"/>
        <v>0</v>
      </c>
      <c r="Q362" s="35">
        <f t="shared" si="151"/>
        <v>2.9999999999972715E-2</v>
      </c>
      <c r="R362" s="72">
        <v>1103864</v>
      </c>
      <c r="S362" s="72">
        <f t="shared" si="160"/>
        <v>2.9999999999972715E-2</v>
      </c>
    </row>
    <row r="363" spans="1:20" ht="25.5" hidden="1">
      <c r="A363" s="100"/>
      <c r="B363" s="15"/>
      <c r="C363" s="15"/>
      <c r="D363" s="16"/>
      <c r="E363" s="20">
        <v>421</v>
      </c>
      <c r="F363" s="3" t="s">
        <v>60</v>
      </c>
      <c r="G363" s="37"/>
      <c r="H363" s="37"/>
      <c r="I363" s="37"/>
      <c r="J363" s="75"/>
      <c r="K363" s="35">
        <f>'1.07. '!M314</f>
        <v>0</v>
      </c>
      <c r="L363" s="35"/>
      <c r="M363" s="92">
        <f t="shared" ref="M363" si="174">K363+L363</f>
        <v>0</v>
      </c>
      <c r="N363" s="93">
        <f t="shared" ref="N363" si="175">I363-M363</f>
        <v>0</v>
      </c>
      <c r="O363" s="70" t="e">
        <f t="shared" si="169"/>
        <v>#DIV/0!</v>
      </c>
      <c r="P363" s="71">
        <f t="shared" si="159"/>
        <v>0</v>
      </c>
      <c r="Q363" s="35">
        <f t="shared" ref="Q363" si="176">H363-J363</f>
        <v>0</v>
      </c>
      <c r="R363" s="72">
        <v>1103865</v>
      </c>
      <c r="S363" s="72">
        <f t="shared" si="160"/>
        <v>0</v>
      </c>
    </row>
    <row r="368" spans="1:20">
      <c r="F368" s="73" t="s">
        <v>27</v>
      </c>
    </row>
  </sheetData>
  <mergeCells count="16">
    <mergeCell ref="P3:P4"/>
    <mergeCell ref="Q3:Q4"/>
    <mergeCell ref="R3:R4"/>
    <mergeCell ref="S3:S4"/>
    <mergeCell ref="G3:G4"/>
    <mergeCell ref="H3:I3"/>
    <mergeCell ref="J3:J4"/>
    <mergeCell ref="K3:M3"/>
    <mergeCell ref="N3:N4"/>
    <mergeCell ref="O3:O4"/>
    <mergeCell ref="F3:F4"/>
    <mergeCell ref="A3:A4"/>
    <mergeCell ref="B3:B4"/>
    <mergeCell ref="C3:C4"/>
    <mergeCell ref="D3:D4"/>
    <mergeCell ref="E3:E4"/>
  </mergeCells>
  <pageMargins left="0.19685039370078741" right="0.19685039370078741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1.02.</vt:lpstr>
      <vt:lpstr>1.03.</vt:lpstr>
      <vt:lpstr>1.04.</vt:lpstr>
      <vt:lpstr>1.05.</vt:lpstr>
      <vt:lpstr>1.06.</vt:lpstr>
      <vt:lpstr>1.07. </vt:lpstr>
      <vt:lpstr>1.08</vt:lpstr>
      <vt:lpstr>1.09</vt:lpstr>
      <vt:lpstr>1.10</vt:lpstr>
      <vt:lpstr>'1.02.'!Заголовки_для_печати</vt:lpstr>
      <vt:lpstr>'1.03.'!Заголовки_для_печати</vt:lpstr>
      <vt:lpstr>'1.04.'!Заголовки_для_печати</vt:lpstr>
      <vt:lpstr>'1.05.'!Заголовки_для_печати</vt:lpstr>
      <vt:lpstr>'1.06.'!Заголовки_для_печати</vt:lpstr>
      <vt:lpstr>'1.07. '!Заголовки_для_печати</vt:lpstr>
      <vt:lpstr>'1.08'!Заголовки_для_печати</vt:lpstr>
      <vt:lpstr>'1.09'!Заголовки_для_печати</vt:lpstr>
      <vt:lpstr>'1.10'!Заголовки_для_печати</vt:lpstr>
      <vt:lpstr>'1.02.'!Область_печати</vt:lpstr>
      <vt:lpstr>'1.03.'!Область_печати</vt:lpstr>
      <vt:lpstr>'1.04.'!Область_печати</vt:lpstr>
      <vt:lpstr>'1.05.'!Область_печати</vt:lpstr>
      <vt:lpstr>'1.06.'!Область_печати</vt:lpstr>
      <vt:lpstr>'1.07. '!Область_печати</vt:lpstr>
      <vt:lpstr>'1.08'!Область_печати</vt:lpstr>
      <vt:lpstr>'1.09'!Область_печати</vt:lpstr>
      <vt:lpstr>'1.10'!Область_печати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Z.Tusupova</dc:creator>
  <cp:lastModifiedBy>Anet Ungarsinova</cp:lastModifiedBy>
  <cp:lastPrinted>2026-10-05T07:45:58Z</cp:lastPrinted>
  <dcterms:created xsi:type="dcterms:W3CDTF">2014-01-31T11:10:30Z</dcterms:created>
  <dcterms:modified xsi:type="dcterms:W3CDTF">2026-10-16T04:37:26Z</dcterms:modified>
</cp:coreProperties>
</file>